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0736" windowHeight="11160" tabRatio="739"/>
  </bookViews>
  <sheets>
    <sheet name="FICHA GENERAL" sheetId="14" r:id="rId1"/>
    <sheet name="RESUMEN en Euros" sheetId="15" r:id="rId2"/>
    <sheet name="RESUMEN en Q" sheetId="11" r:id="rId3"/>
    <sheet name="RESUMEN GLOBAL 1" sheetId="20" r:id="rId4"/>
    <sheet name="RESUMEN GLOBAL 2" sheetId="21" r:id="rId5"/>
    <sheet name="METAS FÍSICAS (Resultados)" sheetId="13" r:id="rId6"/>
    <sheet name="F1,F2,F3,F4 (ejecutivo)" sheetId="1" r:id="rId7"/>
    <sheet name="F1,F2,F3,F4 (Desglose)" sheetId="7" r:id="rId8"/>
    <sheet name="PREVENCIÓN (Ejecutiva)" sheetId="5" r:id="rId9"/>
    <sheet name="PREVENCIÓN (Desglose)" sheetId="8" r:id="rId10"/>
    <sheet name="ATENCIÓN (ejecutiva)" sheetId="9" r:id="rId11"/>
    <sheet name="ATENCIÓN (desglose)" sheetId="3" r:id="rId12"/>
    <sheet name="IMPUNIDAD (Ejecutiva)" sheetId="10" r:id="rId13"/>
    <sheet name="IMPUNIDAD (desglose)" sheetId="4" r:id="rId14"/>
    <sheet name="POA V6" sheetId="18" r:id="rId15"/>
    <sheet name="Consolidado AT-AP" sheetId="16" state="hidden" r:id="rId16"/>
    <sheet name="AT y AP" sheetId="19" state="hidden" r:id="rId17"/>
  </sheets>
  <externalReferences>
    <externalReference r:id="rId18"/>
    <externalReference r:id="rId19"/>
  </externalReferences>
  <definedNames>
    <definedName name="_xlnm._FilterDatabase" localSheetId="11" hidden="1">'ATENCIÓN (desglose)'!$A$6:$AH$122</definedName>
    <definedName name="_xlnm._FilterDatabase" localSheetId="7" hidden="1">'F1,F2,F3,F4 (Desglose)'!$A$6:$AF$117</definedName>
    <definedName name="_xlnm._FilterDatabase" localSheetId="13" hidden="1">'IMPUNIDAD (desglose)'!$A$6:$AH$75</definedName>
    <definedName name="_xlnm._FilterDatabase" localSheetId="9" hidden="1">'PREVENCIÓN (Desglose)'!$A$6:$AM$100</definedName>
    <definedName name="_xlnm.Print_Area" localSheetId="1">'RESUMEN en Euros'!$A$1:$R$40</definedName>
    <definedName name="_xlnm.Print_Area" localSheetId="3">'RESUMEN GLOBAL 1'!$A$1:$AD$232</definedName>
    <definedName name="_xlnm.Print_Area" localSheetId="4">'RESUMEN GLOBAL 2'!$A$1:$R$203</definedName>
    <definedName name="rubros">'[1]2. PROG TÉC GLOBAL'!$AS$664:$AS$695</definedName>
    <definedName name="_xlnm.Print_Titles" localSheetId="6">'F1,F2,F3,F4 (ejecutivo)'!$5:$6</definedName>
    <definedName name="_xlnm.Print_Titles" localSheetId="5">'METAS FÍSICAS (Resultados)'!$4:$5</definedName>
    <definedName name="_xlnm.Print_Titles" localSheetId="8">'PREVENCIÓN (Ejecutiva)'!$4:$5</definedName>
    <definedName name="_xlnm.Print_Titles" localSheetId="3">'RESUMEN GLOBAL 1'!$37:$38</definedName>
    <definedName name="_xlnm.Print_Titles" localSheetId="4">'RESUMEN GLOBAL 2'!$20:$21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90" i="3" l="1"/>
  <c r="K90" i="3"/>
  <c r="D30" i="20" l="1"/>
  <c r="E30" i="20"/>
  <c r="L17" i="15"/>
  <c r="M14" i="15"/>
  <c r="M12" i="15"/>
  <c r="M11" i="15"/>
  <c r="M17" i="15" s="1"/>
  <c r="R10" i="11"/>
  <c r="G27" i="20"/>
  <c r="H27" i="20"/>
  <c r="J27" i="20"/>
  <c r="G28" i="20"/>
  <c r="H28" i="20"/>
  <c r="J28" i="20"/>
  <c r="H29" i="20"/>
  <c r="I29" i="20"/>
  <c r="K29" i="20"/>
  <c r="G59" i="20"/>
  <c r="H59" i="20"/>
  <c r="I59" i="20"/>
  <c r="J59" i="20"/>
  <c r="K59" i="20"/>
  <c r="L59" i="20"/>
  <c r="M59" i="20"/>
  <c r="N59" i="20"/>
  <c r="O59" i="20"/>
  <c r="P59" i="20"/>
  <c r="Q59" i="20"/>
  <c r="G63" i="20"/>
  <c r="H63" i="20"/>
  <c r="I63" i="20"/>
  <c r="J63" i="20"/>
  <c r="K63" i="20"/>
  <c r="L63" i="20"/>
  <c r="M63" i="20"/>
  <c r="N63" i="20"/>
  <c r="O63" i="20"/>
  <c r="P63" i="20"/>
  <c r="Q63" i="20"/>
  <c r="G66" i="20"/>
  <c r="H66" i="20"/>
  <c r="I66" i="20"/>
  <c r="J66" i="20"/>
  <c r="K66" i="20"/>
  <c r="L66" i="20"/>
  <c r="M66" i="20"/>
  <c r="N66" i="20"/>
  <c r="O66" i="20"/>
  <c r="P66" i="20"/>
  <c r="Q66" i="20"/>
  <c r="G67" i="20"/>
  <c r="H67" i="20"/>
  <c r="I67" i="20"/>
  <c r="J67" i="20"/>
  <c r="K67" i="20"/>
  <c r="L67" i="20"/>
  <c r="M67" i="20"/>
  <c r="N67" i="20"/>
  <c r="O67" i="20"/>
  <c r="P67" i="20"/>
  <c r="Q67" i="20"/>
  <c r="G68" i="20"/>
  <c r="H68" i="20"/>
  <c r="I68" i="20"/>
  <c r="J68" i="20"/>
  <c r="K68" i="20"/>
  <c r="L68" i="20"/>
  <c r="M68" i="20"/>
  <c r="N68" i="20"/>
  <c r="O68" i="20"/>
  <c r="P68" i="20"/>
  <c r="Q68" i="20"/>
  <c r="G69" i="20"/>
  <c r="H69" i="20"/>
  <c r="I69" i="20"/>
  <c r="J69" i="20"/>
  <c r="K69" i="20"/>
  <c r="L69" i="20"/>
  <c r="M69" i="20"/>
  <c r="N69" i="20"/>
  <c r="O69" i="20"/>
  <c r="P69" i="20"/>
  <c r="Q69" i="20"/>
  <c r="G179" i="20"/>
  <c r="H179" i="20"/>
  <c r="I179" i="20"/>
  <c r="J179" i="20"/>
  <c r="K179" i="20"/>
  <c r="L179" i="20"/>
  <c r="M179" i="20"/>
  <c r="N179" i="20"/>
  <c r="O179" i="20"/>
  <c r="P179" i="20"/>
  <c r="Q179" i="20"/>
  <c r="G180" i="20"/>
  <c r="H180" i="20"/>
  <c r="I180" i="20"/>
  <c r="J180" i="20"/>
  <c r="K180" i="20"/>
  <c r="L180" i="20"/>
  <c r="M180" i="20"/>
  <c r="N180" i="20"/>
  <c r="O180" i="20"/>
  <c r="P180" i="20"/>
  <c r="Q180" i="20"/>
  <c r="G181" i="20"/>
  <c r="H181" i="20"/>
  <c r="I181" i="20"/>
  <c r="J181" i="20"/>
  <c r="K181" i="20"/>
  <c r="L181" i="20"/>
  <c r="M181" i="20"/>
  <c r="N181" i="20"/>
  <c r="O181" i="20"/>
  <c r="P181" i="20"/>
  <c r="Q181" i="20"/>
  <c r="G189" i="20"/>
  <c r="H189" i="20"/>
  <c r="I189" i="20"/>
  <c r="J189" i="20"/>
  <c r="K189" i="20"/>
  <c r="L189" i="20"/>
  <c r="M189" i="20"/>
  <c r="N189" i="20"/>
  <c r="O189" i="20"/>
  <c r="P189" i="20"/>
  <c r="Q189" i="20"/>
  <c r="G190" i="20"/>
  <c r="I190" i="20"/>
  <c r="J190" i="20"/>
  <c r="K190" i="20"/>
  <c r="L190" i="20"/>
  <c r="M190" i="20"/>
  <c r="N190" i="20"/>
  <c r="O190" i="20"/>
  <c r="P190" i="20"/>
  <c r="Q190" i="20"/>
  <c r="G191" i="20"/>
  <c r="I191" i="20"/>
  <c r="J191" i="20"/>
  <c r="K191" i="20"/>
  <c r="L191" i="20"/>
  <c r="M191" i="20"/>
  <c r="N191" i="20"/>
  <c r="O191" i="20"/>
  <c r="P191" i="20"/>
  <c r="Q191" i="20"/>
  <c r="G192" i="20"/>
  <c r="H192" i="20"/>
  <c r="I192" i="20"/>
  <c r="J192" i="20"/>
  <c r="K192" i="20"/>
  <c r="L192" i="20"/>
  <c r="M192" i="20"/>
  <c r="N192" i="20"/>
  <c r="O192" i="20"/>
  <c r="P192" i="20"/>
  <c r="Q192" i="20"/>
  <c r="G193" i="20"/>
  <c r="H193" i="20"/>
  <c r="I193" i="20"/>
  <c r="J193" i="20"/>
  <c r="K193" i="20"/>
  <c r="L193" i="20"/>
  <c r="M193" i="20"/>
  <c r="N193" i="20"/>
  <c r="O193" i="20"/>
  <c r="P193" i="20"/>
  <c r="Q193" i="20"/>
  <c r="G195" i="20"/>
  <c r="H195" i="20"/>
  <c r="I195" i="20"/>
  <c r="J195" i="20"/>
  <c r="K195" i="20"/>
  <c r="L195" i="20"/>
  <c r="M195" i="20"/>
  <c r="N195" i="20"/>
  <c r="O195" i="20"/>
  <c r="P195" i="20"/>
  <c r="Q195" i="20"/>
  <c r="G196" i="20"/>
  <c r="H196" i="20"/>
  <c r="I196" i="20"/>
  <c r="J196" i="20"/>
  <c r="K196" i="20"/>
  <c r="L196" i="20"/>
  <c r="M196" i="20"/>
  <c r="N196" i="20"/>
  <c r="O196" i="20"/>
  <c r="P196" i="20"/>
  <c r="Q196" i="20"/>
  <c r="G198" i="20"/>
  <c r="H198" i="20"/>
  <c r="J198" i="20"/>
  <c r="K198" i="20"/>
  <c r="L198" i="20"/>
  <c r="M198" i="20"/>
  <c r="N198" i="20"/>
  <c r="O198" i="20"/>
  <c r="P198" i="20"/>
  <c r="Q198" i="20"/>
  <c r="G199" i="20"/>
  <c r="H199" i="20"/>
  <c r="I199" i="20"/>
  <c r="J199" i="20"/>
  <c r="K199" i="20"/>
  <c r="L199" i="20"/>
  <c r="M199" i="20"/>
  <c r="N199" i="20"/>
  <c r="O199" i="20"/>
  <c r="P199" i="20"/>
  <c r="Q199" i="20"/>
  <c r="G200" i="20"/>
  <c r="H200" i="20"/>
  <c r="I200" i="20"/>
  <c r="J200" i="20"/>
  <c r="K200" i="20"/>
  <c r="L200" i="20"/>
  <c r="M200" i="20"/>
  <c r="O200" i="20"/>
  <c r="P200" i="20"/>
  <c r="G201" i="20"/>
  <c r="H201" i="20"/>
  <c r="I201" i="20"/>
  <c r="J201" i="20"/>
  <c r="K201" i="20"/>
  <c r="L201" i="20"/>
  <c r="M201" i="20"/>
  <c r="N201" i="20"/>
  <c r="O201" i="20"/>
  <c r="P201" i="20"/>
  <c r="Q201" i="20"/>
  <c r="G206" i="20"/>
  <c r="H206" i="20"/>
  <c r="I206" i="20"/>
  <c r="J206" i="20"/>
  <c r="K206" i="20"/>
  <c r="L206" i="20"/>
  <c r="M206" i="20"/>
  <c r="N206" i="20"/>
  <c r="O206" i="20"/>
  <c r="P206" i="20"/>
  <c r="Q206" i="20"/>
  <c r="G207" i="20"/>
  <c r="H207" i="20"/>
  <c r="I207" i="20"/>
  <c r="J207" i="20"/>
  <c r="K207" i="20"/>
  <c r="L207" i="20"/>
  <c r="M207" i="20"/>
  <c r="N207" i="20"/>
  <c r="O207" i="20"/>
  <c r="P207" i="20"/>
  <c r="Q207" i="20"/>
  <c r="G208" i="20"/>
  <c r="H208" i="20"/>
  <c r="I208" i="20"/>
  <c r="J208" i="20"/>
  <c r="K208" i="20"/>
  <c r="L208" i="20"/>
  <c r="M208" i="20"/>
  <c r="N208" i="20"/>
  <c r="O208" i="20"/>
  <c r="P208" i="20"/>
  <c r="Q208" i="20"/>
  <c r="G209" i="20"/>
  <c r="H209" i="20"/>
  <c r="I209" i="20"/>
  <c r="J209" i="20"/>
  <c r="K209" i="20"/>
  <c r="L209" i="20"/>
  <c r="M209" i="20"/>
  <c r="N209" i="20"/>
  <c r="O209" i="20"/>
  <c r="P209" i="20"/>
  <c r="Q209" i="20"/>
  <c r="G211" i="20"/>
  <c r="H211" i="20"/>
  <c r="I211" i="20"/>
  <c r="J211" i="20"/>
  <c r="K211" i="20"/>
  <c r="L211" i="20"/>
  <c r="M211" i="20"/>
  <c r="N211" i="20"/>
  <c r="O211" i="20"/>
  <c r="P211" i="20"/>
  <c r="Q211" i="20"/>
  <c r="G212" i="20"/>
  <c r="H212" i="20"/>
  <c r="I212" i="20"/>
  <c r="J212" i="20"/>
  <c r="K212" i="20"/>
  <c r="L212" i="20"/>
  <c r="M212" i="20"/>
  <c r="N212" i="20"/>
  <c r="O212" i="20"/>
  <c r="P212" i="20"/>
  <c r="Q212" i="20"/>
  <c r="G218" i="20"/>
  <c r="H218" i="20"/>
  <c r="I218" i="20"/>
  <c r="J218" i="20"/>
  <c r="K218" i="20"/>
  <c r="L218" i="20"/>
  <c r="M218" i="20"/>
  <c r="N218" i="20"/>
  <c r="O218" i="20"/>
  <c r="P218" i="20"/>
  <c r="Q218" i="20"/>
  <c r="G219" i="20"/>
  <c r="H219" i="20"/>
  <c r="I219" i="20"/>
  <c r="J219" i="20"/>
  <c r="K219" i="20"/>
  <c r="L219" i="20"/>
  <c r="M219" i="20"/>
  <c r="N219" i="20"/>
  <c r="O219" i="20"/>
  <c r="P219" i="20"/>
  <c r="Q219" i="20"/>
  <c r="AC202" i="21"/>
  <c r="AB202" i="21"/>
  <c r="AB199" i="21" s="1"/>
  <c r="AA202" i="21"/>
  <c r="AA199" i="21" s="1"/>
  <c r="AA198" i="21" s="1"/>
  <c r="AA196" i="21" s="1"/>
  <c r="Z202" i="21"/>
  <c r="Z199" i="21" s="1"/>
  <c r="Z198" i="21" s="1"/>
  <c r="Z196" i="21" s="1"/>
  <c r="Y202" i="21"/>
  <c r="Y199" i="21" s="1"/>
  <c r="Y198" i="21" s="1"/>
  <c r="Y196" i="21" s="1"/>
  <c r="X202" i="21"/>
  <c r="X199" i="21" s="1"/>
  <c r="X198" i="21" s="1"/>
  <c r="X196" i="21" s="1"/>
  <c r="W202" i="21"/>
  <c r="V202" i="21"/>
  <c r="V199" i="21" s="1"/>
  <c r="V198" i="21" s="1"/>
  <c r="V196" i="21" s="1"/>
  <c r="U202" i="21"/>
  <c r="U199" i="21" s="1"/>
  <c r="U198" i="21" s="1"/>
  <c r="U196" i="21" s="1"/>
  <c r="T202" i="21"/>
  <c r="S202" i="21"/>
  <c r="S199" i="21" s="1"/>
  <c r="S198" i="21" s="1"/>
  <c r="S196" i="21" s="1"/>
  <c r="Q202" i="21"/>
  <c r="P202" i="21"/>
  <c r="O202" i="21"/>
  <c r="N202" i="21"/>
  <c r="M202" i="21"/>
  <c r="L202" i="21"/>
  <c r="K202" i="21"/>
  <c r="J202" i="21"/>
  <c r="I202" i="21"/>
  <c r="H202" i="21"/>
  <c r="G202" i="21"/>
  <c r="AD201" i="21"/>
  <c r="Q201" i="21"/>
  <c r="Q199" i="21" s="1"/>
  <c r="Q198" i="21" s="1"/>
  <c r="Q196" i="21" s="1"/>
  <c r="P201" i="21"/>
  <c r="O201" i="21"/>
  <c r="O199" i="21" s="1"/>
  <c r="O198" i="21" s="1"/>
  <c r="O196" i="21" s="1"/>
  <c r="N201" i="21"/>
  <c r="M201" i="21"/>
  <c r="M199" i="21" s="1"/>
  <c r="M198" i="21" s="1"/>
  <c r="M196" i="21" s="1"/>
  <c r="L201" i="21"/>
  <c r="K201" i="21"/>
  <c r="K199" i="21" s="1"/>
  <c r="K198" i="21" s="1"/>
  <c r="K196" i="21" s="1"/>
  <c r="J201" i="21"/>
  <c r="I201" i="21"/>
  <c r="H201" i="21"/>
  <c r="G201" i="21"/>
  <c r="AD200" i="21"/>
  <c r="R200" i="21"/>
  <c r="AC199" i="21"/>
  <c r="AC198" i="21" s="1"/>
  <c r="AC196" i="21" s="1"/>
  <c r="W199" i="21"/>
  <c r="W198" i="21" s="1"/>
  <c r="W196" i="21" s="1"/>
  <c r="I199" i="21"/>
  <c r="I198" i="21" s="1"/>
  <c r="I196" i="21" s="1"/>
  <c r="E199" i="21"/>
  <c r="AB198" i="21"/>
  <c r="AB196" i="21" s="1"/>
  <c r="E198" i="21"/>
  <c r="D197" i="21"/>
  <c r="E196" i="21"/>
  <c r="AC195" i="21"/>
  <c r="AB195" i="21"/>
  <c r="AA195" i="21"/>
  <c r="Z195" i="21"/>
  <c r="Y195" i="21"/>
  <c r="X195" i="21"/>
  <c r="W195" i="21"/>
  <c r="V195" i="21"/>
  <c r="U195" i="21"/>
  <c r="T195" i="21"/>
  <c r="S195" i="21"/>
  <c r="Q195" i="21"/>
  <c r="P195" i="21"/>
  <c r="O195" i="21"/>
  <c r="N195" i="21"/>
  <c r="M195" i="21"/>
  <c r="M193" i="21" s="1"/>
  <c r="L195" i="21"/>
  <c r="K195" i="21"/>
  <c r="J195" i="21"/>
  <c r="I195" i="21"/>
  <c r="I193" i="21" s="1"/>
  <c r="H195" i="21"/>
  <c r="G195" i="21"/>
  <c r="AC194" i="21"/>
  <c r="AB194" i="21"/>
  <c r="AB193" i="21" s="1"/>
  <c r="AA194" i="21"/>
  <c r="Z194" i="21"/>
  <c r="Y194" i="21"/>
  <c r="X194" i="21"/>
  <c r="X193" i="21" s="1"/>
  <c r="W194" i="21"/>
  <c r="V194" i="21"/>
  <c r="U194" i="21"/>
  <c r="T194" i="21"/>
  <c r="T193" i="21" s="1"/>
  <c r="S194" i="21"/>
  <c r="Q194" i="21"/>
  <c r="P194" i="21"/>
  <c r="O194" i="21"/>
  <c r="O193" i="21" s="1"/>
  <c r="N194" i="21"/>
  <c r="M194" i="21"/>
  <c r="L194" i="21"/>
  <c r="K194" i="21"/>
  <c r="K193" i="21" s="1"/>
  <c r="J194" i="21"/>
  <c r="I194" i="21"/>
  <c r="H194" i="21"/>
  <c r="G194" i="21"/>
  <c r="E193" i="21"/>
  <c r="AC192" i="21"/>
  <c r="AB192" i="21"/>
  <c r="AA192" i="21"/>
  <c r="Z192" i="21"/>
  <c r="Y192" i="21"/>
  <c r="X192" i="21"/>
  <c r="W192" i="21"/>
  <c r="V192" i="21"/>
  <c r="U192" i="21"/>
  <c r="T192" i="21"/>
  <c r="S192" i="21"/>
  <c r="Q192" i="21"/>
  <c r="P192" i="21"/>
  <c r="O192" i="21"/>
  <c r="N192" i="21"/>
  <c r="M192" i="21"/>
  <c r="L192" i="21"/>
  <c r="K192" i="21"/>
  <c r="J192" i="21"/>
  <c r="I192" i="21"/>
  <c r="H192" i="21"/>
  <c r="G192" i="21"/>
  <c r="AC191" i="21"/>
  <c r="AB191" i="21"/>
  <c r="AA191" i="21"/>
  <c r="Z191" i="21"/>
  <c r="Y191" i="21"/>
  <c r="X191" i="21"/>
  <c r="W191" i="21"/>
  <c r="V191" i="21"/>
  <c r="U191" i="21"/>
  <c r="T191" i="21"/>
  <c r="S191" i="21"/>
  <c r="Q191" i="21"/>
  <c r="P191" i="21"/>
  <c r="O191" i="21"/>
  <c r="N191" i="21"/>
  <c r="M191" i="21"/>
  <c r="L191" i="21"/>
  <c r="K191" i="21"/>
  <c r="J191" i="21"/>
  <c r="I191" i="21"/>
  <c r="H191" i="21"/>
  <c r="G191" i="21"/>
  <c r="AC190" i="21"/>
  <c r="AB190" i="21"/>
  <c r="AA190" i="21"/>
  <c r="Z190" i="21"/>
  <c r="Y190" i="21"/>
  <c r="X190" i="21"/>
  <c r="W190" i="21"/>
  <c r="V190" i="21"/>
  <c r="U190" i="21"/>
  <c r="T190" i="21"/>
  <c r="S190" i="21"/>
  <c r="Q190" i="21"/>
  <c r="P190" i="21"/>
  <c r="O190" i="21"/>
  <c r="N190" i="21"/>
  <c r="M190" i="21"/>
  <c r="L190" i="21"/>
  <c r="K190" i="21"/>
  <c r="J190" i="21"/>
  <c r="I190" i="21"/>
  <c r="H190" i="21"/>
  <c r="G190" i="21"/>
  <c r="AC189" i="21"/>
  <c r="AB189" i="21"/>
  <c r="AA189" i="21"/>
  <c r="Z189" i="21"/>
  <c r="Y189" i="21"/>
  <c r="X189" i="21"/>
  <c r="W189" i="21"/>
  <c r="V189" i="21"/>
  <c r="U189" i="21"/>
  <c r="U188" i="21" s="1"/>
  <c r="T189" i="21"/>
  <c r="S189" i="21"/>
  <c r="Q189" i="21"/>
  <c r="P189" i="21"/>
  <c r="O189" i="21"/>
  <c r="N189" i="21"/>
  <c r="M189" i="21"/>
  <c r="L189" i="21"/>
  <c r="K189" i="21"/>
  <c r="J189" i="21"/>
  <c r="I189" i="21"/>
  <c r="H189" i="21"/>
  <c r="G189" i="21"/>
  <c r="E188" i="21"/>
  <c r="D186" i="21"/>
  <c r="E186" i="21" s="1"/>
  <c r="F186" i="21" s="1"/>
  <c r="AC184" i="21"/>
  <c r="AB184" i="21"/>
  <c r="AA184" i="21"/>
  <c r="Z184" i="21"/>
  <c r="Y184" i="21"/>
  <c r="X184" i="21"/>
  <c r="W184" i="21"/>
  <c r="V184" i="21"/>
  <c r="U184" i="21"/>
  <c r="T184" i="21"/>
  <c r="S184" i="21"/>
  <c r="Q184" i="21"/>
  <c r="P184" i="21"/>
  <c r="O184" i="21"/>
  <c r="N184" i="21"/>
  <c r="M184" i="21"/>
  <c r="L184" i="21"/>
  <c r="K184" i="21"/>
  <c r="J184" i="21"/>
  <c r="I184" i="21"/>
  <c r="H184" i="21"/>
  <c r="G184" i="21"/>
  <c r="AC183" i="21"/>
  <c r="AB183" i="21"/>
  <c r="AA183" i="21"/>
  <c r="Z183" i="21"/>
  <c r="Y183" i="21"/>
  <c r="X183" i="21"/>
  <c r="W183" i="21"/>
  <c r="V183" i="21"/>
  <c r="U183" i="21"/>
  <c r="T183" i="21"/>
  <c r="S183" i="21"/>
  <c r="P183" i="21"/>
  <c r="O183" i="21"/>
  <c r="M183" i="21"/>
  <c r="L183" i="21"/>
  <c r="K183" i="21"/>
  <c r="J183" i="21"/>
  <c r="I183" i="21"/>
  <c r="H183" i="21"/>
  <c r="G183" i="21"/>
  <c r="AC182" i="21"/>
  <c r="AB182" i="21"/>
  <c r="AA182" i="21"/>
  <c r="Z182" i="21"/>
  <c r="Y182" i="21"/>
  <c r="X182" i="21"/>
  <c r="W182" i="21"/>
  <c r="V182" i="21"/>
  <c r="U182" i="21"/>
  <c r="T182" i="21"/>
  <c r="S182" i="21"/>
  <c r="Q182" i="21"/>
  <c r="P182" i="21"/>
  <c r="O182" i="21"/>
  <c r="N182" i="21"/>
  <c r="M182" i="21"/>
  <c r="L182" i="21"/>
  <c r="K182" i="21"/>
  <c r="J182" i="21"/>
  <c r="I182" i="21"/>
  <c r="H182" i="21"/>
  <c r="G182" i="21"/>
  <c r="AC181" i="21"/>
  <c r="AB181" i="21"/>
  <c r="AA181" i="21"/>
  <c r="Z181" i="21"/>
  <c r="Y181" i="21"/>
  <c r="X181" i="21"/>
  <c r="W181" i="21"/>
  <c r="V181" i="21"/>
  <c r="U181" i="21"/>
  <c r="T181" i="21"/>
  <c r="S181" i="21"/>
  <c r="Q181" i="21"/>
  <c r="P181" i="21"/>
  <c r="O181" i="21"/>
  <c r="N181" i="21"/>
  <c r="M181" i="21"/>
  <c r="L181" i="21"/>
  <c r="K181" i="21"/>
  <c r="J181" i="21"/>
  <c r="H181" i="21"/>
  <c r="G181" i="21"/>
  <c r="E180" i="21"/>
  <c r="AC179" i="21"/>
  <c r="AB179" i="21"/>
  <c r="AA179" i="21"/>
  <c r="Z179" i="21"/>
  <c r="Y179" i="21"/>
  <c r="X179" i="21"/>
  <c r="W179" i="21"/>
  <c r="V179" i="21"/>
  <c r="U179" i="21"/>
  <c r="T179" i="21"/>
  <c r="S179" i="21"/>
  <c r="Q179" i="21"/>
  <c r="P179" i="21"/>
  <c r="O179" i="21"/>
  <c r="N179" i="21"/>
  <c r="M179" i="21"/>
  <c r="L179" i="21"/>
  <c r="K179" i="21"/>
  <c r="J179" i="21"/>
  <c r="I179" i="21"/>
  <c r="H179" i="21"/>
  <c r="G179" i="21"/>
  <c r="AC178" i="21"/>
  <c r="AB178" i="21"/>
  <c r="AA178" i="21"/>
  <c r="Z178" i="21"/>
  <c r="Y178" i="21"/>
  <c r="X178" i="21"/>
  <c r="W178" i="21"/>
  <c r="V178" i="21"/>
  <c r="U178" i="21"/>
  <c r="T178" i="21"/>
  <c r="S178" i="21"/>
  <c r="S177" i="21" s="1"/>
  <c r="Q178" i="21"/>
  <c r="P178" i="21"/>
  <c r="O178" i="21"/>
  <c r="N178" i="21"/>
  <c r="M178" i="21"/>
  <c r="L178" i="21"/>
  <c r="K178" i="21"/>
  <c r="J178" i="21"/>
  <c r="I178" i="21"/>
  <c r="H178" i="21"/>
  <c r="G178" i="21"/>
  <c r="E177" i="21"/>
  <c r="AC176" i="21"/>
  <c r="AB176" i="21"/>
  <c r="AA176" i="21"/>
  <c r="Z176" i="21"/>
  <c r="Y176" i="21"/>
  <c r="X176" i="21"/>
  <c r="W176" i="21"/>
  <c r="V176" i="21"/>
  <c r="U176" i="21"/>
  <c r="T176" i="21"/>
  <c r="S176" i="21"/>
  <c r="Q176" i="21"/>
  <c r="P176" i="21"/>
  <c r="O176" i="21"/>
  <c r="N176" i="21"/>
  <c r="M176" i="21"/>
  <c r="L176" i="21"/>
  <c r="K176" i="21"/>
  <c r="J176" i="21"/>
  <c r="I176" i="21"/>
  <c r="H176" i="21"/>
  <c r="G176" i="21"/>
  <c r="AC175" i="21"/>
  <c r="AB175" i="21"/>
  <c r="AA175" i="21"/>
  <c r="Z175" i="21"/>
  <c r="Y175" i="21"/>
  <c r="X175" i="21"/>
  <c r="W175" i="21"/>
  <c r="V175" i="21"/>
  <c r="U175" i="21"/>
  <c r="T175" i="21"/>
  <c r="S175" i="21"/>
  <c r="Q175" i="21"/>
  <c r="P175" i="21"/>
  <c r="O175" i="21"/>
  <c r="N175" i="21"/>
  <c r="M175" i="21"/>
  <c r="L175" i="21"/>
  <c r="K175" i="21"/>
  <c r="J175" i="21"/>
  <c r="I175" i="21"/>
  <c r="H175" i="21"/>
  <c r="G175" i="21"/>
  <c r="AC174" i="21"/>
  <c r="AB174" i="21"/>
  <c r="AA174" i="21"/>
  <c r="Z174" i="21"/>
  <c r="Y174" i="21"/>
  <c r="X174" i="21"/>
  <c r="W174" i="21"/>
  <c r="V174" i="21"/>
  <c r="U174" i="21"/>
  <c r="T174" i="21"/>
  <c r="S174" i="21"/>
  <c r="Q174" i="21"/>
  <c r="P174" i="21"/>
  <c r="O174" i="21"/>
  <c r="N174" i="21"/>
  <c r="M174" i="21"/>
  <c r="L174" i="21"/>
  <c r="K174" i="21"/>
  <c r="J174" i="21"/>
  <c r="I174" i="21"/>
  <c r="G174" i="21"/>
  <c r="AC173" i="21"/>
  <c r="AB173" i="21"/>
  <c r="AA173" i="21"/>
  <c r="Z173" i="21"/>
  <c r="Y173" i="21"/>
  <c r="X173" i="21"/>
  <c r="W173" i="21"/>
  <c r="V173" i="21"/>
  <c r="U173" i="21"/>
  <c r="T173" i="21"/>
  <c r="S173" i="21"/>
  <c r="Q173" i="21"/>
  <c r="P173" i="21"/>
  <c r="O173" i="21"/>
  <c r="N173" i="21"/>
  <c r="M173" i="21"/>
  <c r="L173" i="21"/>
  <c r="K173" i="21"/>
  <c r="J173" i="21"/>
  <c r="I173" i="21"/>
  <c r="G173" i="21"/>
  <c r="AC172" i="21"/>
  <c r="AB172" i="21"/>
  <c r="AA172" i="21"/>
  <c r="Z172" i="21"/>
  <c r="Y172" i="21"/>
  <c r="Y171" i="21" s="1"/>
  <c r="X172" i="21"/>
  <c r="W172" i="21"/>
  <c r="V172" i="21"/>
  <c r="U172" i="21"/>
  <c r="T172" i="21"/>
  <c r="S172" i="21"/>
  <c r="Q172" i="21"/>
  <c r="P172" i="21"/>
  <c r="O172" i="21"/>
  <c r="N172" i="21"/>
  <c r="M172" i="21"/>
  <c r="L172" i="21"/>
  <c r="K172" i="21"/>
  <c r="J172" i="21"/>
  <c r="I172" i="21"/>
  <c r="H172" i="21"/>
  <c r="G172" i="21"/>
  <c r="E171" i="21"/>
  <c r="E165" i="21"/>
  <c r="AC164" i="21"/>
  <c r="AB164" i="21"/>
  <c r="AA164" i="21"/>
  <c r="Z164" i="21"/>
  <c r="Y164" i="21"/>
  <c r="X164" i="21"/>
  <c r="W164" i="21"/>
  <c r="V164" i="21"/>
  <c r="U164" i="21"/>
  <c r="T164" i="21"/>
  <c r="S164" i="21"/>
  <c r="Q164" i="21"/>
  <c r="P164" i="21"/>
  <c r="O164" i="21"/>
  <c r="N164" i="21"/>
  <c r="M164" i="21"/>
  <c r="L164" i="21"/>
  <c r="K164" i="21"/>
  <c r="J164" i="21"/>
  <c r="I164" i="21"/>
  <c r="H164" i="21"/>
  <c r="G164" i="21"/>
  <c r="AC163" i="21"/>
  <c r="AB163" i="21"/>
  <c r="AA163" i="21"/>
  <c r="Z163" i="21"/>
  <c r="Y163" i="21"/>
  <c r="X163" i="21"/>
  <c r="W163" i="21"/>
  <c r="V163" i="21"/>
  <c r="U163" i="21"/>
  <c r="T163" i="21"/>
  <c r="S163" i="21"/>
  <c r="Q163" i="21"/>
  <c r="P163" i="21"/>
  <c r="O163" i="21"/>
  <c r="N163" i="21"/>
  <c r="M163" i="21"/>
  <c r="L163" i="21"/>
  <c r="K163" i="21"/>
  <c r="J163" i="21"/>
  <c r="J161" i="21" s="1"/>
  <c r="I163" i="21"/>
  <c r="H163" i="21"/>
  <c r="G163" i="21"/>
  <c r="AC162" i="21"/>
  <c r="AB162" i="21"/>
  <c r="AA162" i="21"/>
  <c r="Z162" i="21"/>
  <c r="Y162" i="21"/>
  <c r="X162" i="21"/>
  <c r="W162" i="21"/>
  <c r="V162" i="21"/>
  <c r="U162" i="21"/>
  <c r="T162" i="21"/>
  <c r="S162" i="21"/>
  <c r="Q162" i="21"/>
  <c r="P162" i="21"/>
  <c r="O162" i="21"/>
  <c r="N162" i="21"/>
  <c r="M162" i="21"/>
  <c r="L162" i="21"/>
  <c r="K162" i="21"/>
  <c r="J162" i="21"/>
  <c r="I162" i="21"/>
  <c r="H162" i="21"/>
  <c r="G162" i="21"/>
  <c r="E161" i="21"/>
  <c r="D158" i="21"/>
  <c r="AC52" i="21"/>
  <c r="AB52" i="21"/>
  <c r="AA52" i="21"/>
  <c r="Z52" i="21"/>
  <c r="Y52" i="21"/>
  <c r="X52" i="21"/>
  <c r="W52" i="21"/>
  <c r="V52" i="21"/>
  <c r="U52" i="21"/>
  <c r="T52" i="21"/>
  <c r="S52" i="21"/>
  <c r="Q52" i="21"/>
  <c r="P52" i="21"/>
  <c r="O52" i="21"/>
  <c r="N52" i="21"/>
  <c r="M52" i="21"/>
  <c r="L52" i="21"/>
  <c r="K52" i="21"/>
  <c r="J52" i="21"/>
  <c r="I52" i="21"/>
  <c r="H52" i="21"/>
  <c r="G52" i="21"/>
  <c r="AC51" i="21"/>
  <c r="AB51" i="21"/>
  <c r="AA51" i="21"/>
  <c r="Z51" i="21"/>
  <c r="Y51" i="21"/>
  <c r="X51" i="21"/>
  <c r="W51" i="21"/>
  <c r="V51" i="21"/>
  <c r="U51" i="21"/>
  <c r="T51" i="21"/>
  <c r="S51" i="21"/>
  <c r="Q51" i="21"/>
  <c r="P51" i="21"/>
  <c r="O51" i="21"/>
  <c r="N51" i="21"/>
  <c r="M51" i="21"/>
  <c r="L51" i="21"/>
  <c r="K51" i="21"/>
  <c r="J51" i="21"/>
  <c r="I51" i="21"/>
  <c r="H51" i="21"/>
  <c r="G51" i="21"/>
  <c r="AC50" i="21"/>
  <c r="AB50" i="21"/>
  <c r="AA50" i="21"/>
  <c r="Z50" i="21"/>
  <c r="Y50" i="21"/>
  <c r="X50" i="21"/>
  <c r="W50" i="21"/>
  <c r="V50" i="21"/>
  <c r="U50" i="21"/>
  <c r="T50" i="21"/>
  <c r="S50" i="21"/>
  <c r="Q50" i="21"/>
  <c r="P50" i="21"/>
  <c r="O50" i="21"/>
  <c r="N50" i="21"/>
  <c r="M50" i="21"/>
  <c r="L50" i="21"/>
  <c r="K50" i="21"/>
  <c r="J50" i="21"/>
  <c r="I50" i="21"/>
  <c r="H50" i="21"/>
  <c r="G50" i="21"/>
  <c r="AC49" i="21"/>
  <c r="AB49" i="21"/>
  <c r="AA49" i="21"/>
  <c r="Z49" i="21"/>
  <c r="Y49" i="21"/>
  <c r="X49" i="21"/>
  <c r="W49" i="21"/>
  <c r="W48" i="21" s="1"/>
  <c r="W47" i="21" s="1"/>
  <c r="V49" i="21"/>
  <c r="U49" i="21"/>
  <c r="T49" i="21"/>
  <c r="S49" i="21"/>
  <c r="Q49" i="21"/>
  <c r="P49" i="21"/>
  <c r="O49" i="21"/>
  <c r="N49" i="21"/>
  <c r="M49" i="21"/>
  <c r="L49" i="21"/>
  <c r="K49" i="21"/>
  <c r="J49" i="21"/>
  <c r="I49" i="21"/>
  <c r="H49" i="21"/>
  <c r="G49" i="21"/>
  <c r="G48" i="21" s="1"/>
  <c r="G47" i="21" s="1"/>
  <c r="D48" i="21"/>
  <c r="D47" i="21" s="1"/>
  <c r="AD46" i="21"/>
  <c r="Q46" i="21"/>
  <c r="P46" i="21"/>
  <c r="O46" i="21"/>
  <c r="N46" i="21"/>
  <c r="M46" i="21"/>
  <c r="L46" i="21"/>
  <c r="K46" i="21"/>
  <c r="J46" i="21"/>
  <c r="I46" i="21"/>
  <c r="H46" i="21"/>
  <c r="G46" i="21"/>
  <c r="G32" i="21" s="1"/>
  <c r="AD45" i="21"/>
  <c r="R45" i="21"/>
  <c r="AD44" i="21"/>
  <c r="R44" i="21"/>
  <c r="AD43" i="21"/>
  <c r="R43" i="21"/>
  <c r="AD42" i="21"/>
  <c r="Q42" i="21"/>
  <c r="P42" i="21"/>
  <c r="O42" i="21"/>
  <c r="N42" i="21"/>
  <c r="M42" i="21"/>
  <c r="L42" i="21"/>
  <c r="K42" i="21"/>
  <c r="J42" i="21"/>
  <c r="I42" i="21"/>
  <c r="H42" i="21"/>
  <c r="G42" i="21"/>
  <c r="AD41" i="21"/>
  <c r="R41" i="21"/>
  <c r="AD40" i="21"/>
  <c r="R40" i="21"/>
  <c r="AD39" i="21"/>
  <c r="R39" i="21"/>
  <c r="AD38" i="21"/>
  <c r="R38" i="21"/>
  <c r="AD37" i="21"/>
  <c r="R37" i="21"/>
  <c r="AD36" i="21"/>
  <c r="R36" i="21"/>
  <c r="AD35" i="21"/>
  <c r="R35" i="21"/>
  <c r="AD34" i="21"/>
  <c r="R34" i="21"/>
  <c r="AD33" i="21"/>
  <c r="R33" i="21"/>
  <c r="AC32" i="21"/>
  <c r="AB32" i="21"/>
  <c r="AA32" i="21"/>
  <c r="Z32" i="21"/>
  <c r="Y32" i="21"/>
  <c r="X32" i="21"/>
  <c r="W32" i="21"/>
  <c r="V32" i="21"/>
  <c r="U32" i="21"/>
  <c r="T32" i="21"/>
  <c r="S32" i="21"/>
  <c r="E32" i="21"/>
  <c r="AC30" i="21"/>
  <c r="AB30" i="21"/>
  <c r="AA30" i="21"/>
  <c r="Z30" i="21"/>
  <c r="Y30" i="21"/>
  <c r="X30" i="21"/>
  <c r="W30" i="21"/>
  <c r="V30" i="21"/>
  <c r="U30" i="21"/>
  <c r="T30" i="21"/>
  <c r="S30" i="21"/>
  <c r="AC29" i="21"/>
  <c r="AB29" i="21"/>
  <c r="AA29" i="21"/>
  <c r="Z29" i="21"/>
  <c r="Y29" i="21"/>
  <c r="X29" i="21"/>
  <c r="W29" i="21"/>
  <c r="V29" i="21"/>
  <c r="U29" i="21"/>
  <c r="T29" i="21"/>
  <c r="S29" i="21"/>
  <c r="E28" i="21"/>
  <c r="E27" i="21"/>
  <c r="D25" i="21"/>
  <c r="E25" i="21" s="1"/>
  <c r="Q13" i="21"/>
  <c r="O13" i="21"/>
  <c r="L13" i="21"/>
  <c r="J13" i="21"/>
  <c r="P12" i="21"/>
  <c r="N12" i="21"/>
  <c r="R12" i="21" s="1"/>
  <c r="M12" i="21"/>
  <c r="K12" i="21"/>
  <c r="P11" i="21"/>
  <c r="P13" i="21" s="1"/>
  <c r="P14" i="21" s="1"/>
  <c r="N11" i="21"/>
  <c r="N13" i="21" s="1"/>
  <c r="N14" i="21" s="1"/>
  <c r="M11" i="21"/>
  <c r="M13" i="21" s="1"/>
  <c r="K11" i="21"/>
  <c r="K13" i="21" s="1"/>
  <c r="L14" i="21" l="1"/>
  <c r="J14" i="21"/>
  <c r="S12" i="21"/>
  <c r="Y177" i="21"/>
  <c r="Q193" i="21"/>
  <c r="V193" i="21"/>
  <c r="R11" i="21"/>
  <c r="R13" i="21" s="1"/>
  <c r="S11" i="21"/>
  <c r="G29" i="20"/>
  <c r="D38" i="21"/>
  <c r="F38" i="21" s="1"/>
  <c r="O32" i="21"/>
  <c r="M161" i="21"/>
  <c r="V161" i="21"/>
  <c r="I177" i="21"/>
  <c r="M177" i="21"/>
  <c r="Q177" i="21"/>
  <c r="V177" i="21"/>
  <c r="Z177" i="21"/>
  <c r="G177" i="21"/>
  <c r="K177" i="21"/>
  <c r="O177" i="21"/>
  <c r="T177" i="21"/>
  <c r="X177" i="21"/>
  <c r="Y180" i="21"/>
  <c r="AC180" i="21"/>
  <c r="T48" i="21"/>
  <c r="T47" i="21" s="1"/>
  <c r="X48" i="21"/>
  <c r="X47" i="21" s="1"/>
  <c r="AB48" i="21"/>
  <c r="AB47" i="21" s="1"/>
  <c r="L177" i="21"/>
  <c r="G188" i="21"/>
  <c r="K188" i="21"/>
  <c r="O188" i="21"/>
  <c r="O187" i="21" s="1"/>
  <c r="O185" i="21" s="1"/>
  <c r="T188" i="21"/>
  <c r="X188" i="21"/>
  <c r="AB188" i="21"/>
  <c r="I188" i="21"/>
  <c r="I187" i="21" s="1"/>
  <c r="I185" i="21" s="1"/>
  <c r="M188" i="21"/>
  <c r="Q188" i="21"/>
  <c r="J29" i="20"/>
  <c r="D33" i="21"/>
  <c r="D37" i="21"/>
  <c r="F37" i="21" s="1"/>
  <c r="D40" i="21"/>
  <c r="F40" i="21" s="1"/>
  <c r="AC161" i="21"/>
  <c r="D34" i="21"/>
  <c r="F34" i="21" s="1"/>
  <c r="Z193" i="21"/>
  <c r="K32" i="21"/>
  <c r="AC171" i="21"/>
  <c r="U193" i="21"/>
  <c r="U187" i="21" s="1"/>
  <c r="U185" i="21" s="1"/>
  <c r="AC193" i="21"/>
  <c r="D41" i="21"/>
  <c r="F41" i="21" s="1"/>
  <c r="D44" i="21"/>
  <c r="F44" i="21" s="1"/>
  <c r="E160" i="21"/>
  <c r="E159" i="21" s="1"/>
  <c r="E157" i="21" s="1"/>
  <c r="N171" i="21"/>
  <c r="W171" i="21"/>
  <c r="AA171" i="21"/>
  <c r="L171" i="21"/>
  <c r="U171" i="21"/>
  <c r="H177" i="21"/>
  <c r="P177" i="21"/>
  <c r="U177" i="21"/>
  <c r="AC177" i="21"/>
  <c r="W177" i="21"/>
  <c r="AA177" i="21"/>
  <c r="J193" i="21"/>
  <c r="N193" i="21"/>
  <c r="W193" i="21"/>
  <c r="AA193" i="21"/>
  <c r="D36" i="21"/>
  <c r="F36" i="21" s="1"/>
  <c r="X187" i="21"/>
  <c r="X185" i="21" s="1"/>
  <c r="E26" i="21"/>
  <c r="L32" i="21"/>
  <c r="J32" i="21"/>
  <c r="N161" i="21"/>
  <c r="AD162" i="21"/>
  <c r="W161" i="21"/>
  <c r="AA161" i="21"/>
  <c r="U161" i="21"/>
  <c r="Y161" i="21"/>
  <c r="AB177" i="21"/>
  <c r="M180" i="21"/>
  <c r="X180" i="21"/>
  <c r="AB180" i="21"/>
  <c r="AD183" i="21"/>
  <c r="AD184" i="21"/>
  <c r="L188" i="21"/>
  <c r="AC188" i="21"/>
  <c r="AC187" i="21" s="1"/>
  <c r="AC185" i="21" s="1"/>
  <c r="D35" i="21"/>
  <c r="F35" i="21" s="1"/>
  <c r="K161" i="21"/>
  <c r="O161" i="21"/>
  <c r="I161" i="21"/>
  <c r="Q161" i="21"/>
  <c r="Z161" i="21"/>
  <c r="S180" i="21"/>
  <c r="W180" i="21"/>
  <c r="AA180" i="21"/>
  <c r="U180" i="21"/>
  <c r="D43" i="21"/>
  <c r="F43" i="21" s="1"/>
  <c r="H32" i="21"/>
  <c r="P32" i="21"/>
  <c r="L48" i="21"/>
  <c r="L47" i="21" s="1"/>
  <c r="U48" i="21"/>
  <c r="U47" i="21" s="1"/>
  <c r="Y48" i="21"/>
  <c r="Y47" i="21" s="1"/>
  <c r="AC48" i="21"/>
  <c r="AC47" i="21" s="1"/>
  <c r="AD50" i="21"/>
  <c r="V171" i="21"/>
  <c r="AD173" i="21"/>
  <c r="X171" i="21"/>
  <c r="AD176" i="21"/>
  <c r="J188" i="21"/>
  <c r="J187" i="21" s="1"/>
  <c r="J185" i="21" s="1"/>
  <c r="N188" i="21"/>
  <c r="S188" i="21"/>
  <c r="W188" i="21"/>
  <c r="W187" i="21" s="1"/>
  <c r="W185" i="21" s="1"/>
  <c r="AA188" i="21"/>
  <c r="P188" i="21"/>
  <c r="Y188" i="21"/>
  <c r="R191" i="21"/>
  <c r="R192" i="21"/>
  <c r="D39" i="21"/>
  <c r="F39" i="21" s="1"/>
  <c r="D45" i="21"/>
  <c r="F45" i="21" s="1"/>
  <c r="AD179" i="21"/>
  <c r="K187" i="21"/>
  <c r="K185" i="21" s="1"/>
  <c r="T187" i="21"/>
  <c r="T185" i="21" s="1"/>
  <c r="AB187" i="21"/>
  <c r="AB185" i="21" s="1"/>
  <c r="Y193" i="21"/>
  <c r="AD29" i="21"/>
  <c r="AD32" i="21"/>
  <c r="R49" i="21"/>
  <c r="K48" i="21"/>
  <c r="K47" i="21" s="1"/>
  <c r="O48" i="21"/>
  <c r="O47" i="21" s="1"/>
  <c r="I48" i="21"/>
  <c r="I47" i="21" s="1"/>
  <c r="Q48" i="21"/>
  <c r="Q47" i="21" s="1"/>
  <c r="P171" i="21"/>
  <c r="R175" i="21"/>
  <c r="V188" i="21"/>
  <c r="V187" i="21" s="1"/>
  <c r="V185" i="21" s="1"/>
  <c r="Z188" i="21"/>
  <c r="AD190" i="21"/>
  <c r="AD191" i="21"/>
  <c r="AD192" i="21"/>
  <c r="L199" i="21"/>
  <c r="L198" i="21" s="1"/>
  <c r="L196" i="21" s="1"/>
  <c r="P199" i="21"/>
  <c r="P198" i="21" s="1"/>
  <c r="P196" i="21" s="1"/>
  <c r="AD51" i="21"/>
  <c r="E158" i="21"/>
  <c r="F158" i="21" s="1"/>
  <c r="AD163" i="21"/>
  <c r="R164" i="21"/>
  <c r="J171" i="21"/>
  <c r="R179" i="21"/>
  <c r="R182" i="21"/>
  <c r="L180" i="21"/>
  <c r="P180" i="21"/>
  <c r="E187" i="21"/>
  <c r="E185" i="21" s="1"/>
  <c r="M187" i="21"/>
  <c r="M185" i="21" s="1"/>
  <c r="Q187" i="21"/>
  <c r="Q185" i="21" s="1"/>
  <c r="E197" i="21"/>
  <c r="F197" i="21" s="1"/>
  <c r="Z171" i="21"/>
  <c r="I32" i="21"/>
  <c r="M32" i="21"/>
  <c r="Q32" i="21"/>
  <c r="AA48" i="21"/>
  <c r="AA47" i="21" s="1"/>
  <c r="H48" i="21"/>
  <c r="H47" i="21" s="1"/>
  <c r="P48" i="21"/>
  <c r="P47" i="21" s="1"/>
  <c r="R51" i="21"/>
  <c r="H161" i="21"/>
  <c r="L161" i="21"/>
  <c r="P161" i="21"/>
  <c r="R163" i="21"/>
  <c r="D163" i="21" s="1"/>
  <c r="F163" i="21" s="1"/>
  <c r="K171" i="21"/>
  <c r="O171" i="21"/>
  <c r="I171" i="21"/>
  <c r="M171" i="21"/>
  <c r="Q171" i="21"/>
  <c r="AB171" i="21"/>
  <c r="AD175" i="21"/>
  <c r="D175" i="21" s="1"/>
  <c r="F175" i="21" s="1"/>
  <c r="J177" i="21"/>
  <c r="N177" i="21"/>
  <c r="AD178" i="21"/>
  <c r="G180" i="21"/>
  <c r="K180" i="21"/>
  <c r="O180" i="21"/>
  <c r="H193" i="21"/>
  <c r="L193" i="21"/>
  <c r="L187" i="21" s="1"/>
  <c r="L185" i="21" s="1"/>
  <c r="P193" i="21"/>
  <c r="P187" i="21" s="1"/>
  <c r="P185" i="21" s="1"/>
  <c r="AD195" i="21"/>
  <c r="J199" i="21"/>
  <c r="J198" i="21" s="1"/>
  <c r="J196" i="21" s="1"/>
  <c r="N199" i="21"/>
  <c r="N198" i="21" s="1"/>
  <c r="N196" i="21" s="1"/>
  <c r="Q216" i="20"/>
  <c r="Q215" i="20" s="1"/>
  <c r="Q213" i="20" s="1"/>
  <c r="O210" i="20"/>
  <c r="K210" i="20"/>
  <c r="P216" i="20"/>
  <c r="P215" i="20" s="1"/>
  <c r="P213" i="20" s="1"/>
  <c r="L216" i="20"/>
  <c r="L215" i="20" s="1"/>
  <c r="L213" i="20" s="1"/>
  <c r="H216" i="20"/>
  <c r="H215" i="20" s="1"/>
  <c r="H213" i="20" s="1"/>
  <c r="N210" i="20"/>
  <c r="J210" i="20"/>
  <c r="N205" i="20"/>
  <c r="J205" i="20"/>
  <c r="J197" i="20"/>
  <c r="P194" i="20"/>
  <c r="L194" i="20"/>
  <c r="H194" i="20"/>
  <c r="O188" i="20"/>
  <c r="K188" i="20"/>
  <c r="G188" i="20"/>
  <c r="O178" i="20"/>
  <c r="K178" i="20"/>
  <c r="G178" i="20"/>
  <c r="O65" i="20"/>
  <c r="O64" i="20" s="1"/>
  <c r="K65" i="20"/>
  <c r="K64" i="20" s="1"/>
  <c r="G65" i="20"/>
  <c r="G64" i="20" s="1"/>
  <c r="Q49" i="20"/>
  <c r="M49" i="20"/>
  <c r="I49" i="20"/>
  <c r="O216" i="20"/>
  <c r="O215" i="20" s="1"/>
  <c r="O213" i="20" s="1"/>
  <c r="K216" i="20"/>
  <c r="K215" i="20" s="1"/>
  <c r="K213" i="20" s="1"/>
  <c r="G216" i="20"/>
  <c r="G215" i="20" s="1"/>
  <c r="G213" i="20" s="1"/>
  <c r="Q210" i="20"/>
  <c r="M210" i="20"/>
  <c r="I210" i="20"/>
  <c r="Q205" i="20"/>
  <c r="M205" i="20"/>
  <c r="I205" i="20"/>
  <c r="M197" i="20"/>
  <c r="O194" i="20"/>
  <c r="K194" i="20"/>
  <c r="G194" i="20"/>
  <c r="N188" i="20"/>
  <c r="J188" i="20"/>
  <c r="N178" i="20"/>
  <c r="J178" i="20"/>
  <c r="N65" i="20"/>
  <c r="N64" i="20" s="1"/>
  <c r="J65" i="20"/>
  <c r="J64" i="20" s="1"/>
  <c r="P49" i="20"/>
  <c r="L49" i="20"/>
  <c r="H49" i="20"/>
  <c r="N216" i="20"/>
  <c r="N215" i="20" s="1"/>
  <c r="N213" i="20" s="1"/>
  <c r="J216" i="20"/>
  <c r="J215" i="20" s="1"/>
  <c r="J213" i="20" s="1"/>
  <c r="P210" i="20"/>
  <c r="L210" i="20"/>
  <c r="H210" i="20"/>
  <c r="P205" i="20"/>
  <c r="L205" i="20"/>
  <c r="H205" i="20"/>
  <c r="P197" i="20"/>
  <c r="L197" i="20"/>
  <c r="H197" i="20"/>
  <c r="N194" i="20"/>
  <c r="J194" i="20"/>
  <c r="Q188" i="20"/>
  <c r="M188" i="20"/>
  <c r="I188" i="20"/>
  <c r="Q178" i="20"/>
  <c r="M178" i="20"/>
  <c r="I178" i="20"/>
  <c r="Q65" i="20"/>
  <c r="Q64" i="20" s="1"/>
  <c r="M65" i="20"/>
  <c r="M64" i="20" s="1"/>
  <c r="I65" i="20"/>
  <c r="I64" i="20" s="1"/>
  <c r="O49" i="20"/>
  <c r="K49" i="20"/>
  <c r="G49" i="20"/>
  <c r="M216" i="20"/>
  <c r="M215" i="20" s="1"/>
  <c r="M213" i="20" s="1"/>
  <c r="I216" i="20"/>
  <c r="I215" i="20" s="1"/>
  <c r="I213" i="20" s="1"/>
  <c r="G210" i="20"/>
  <c r="O205" i="20"/>
  <c r="K205" i="20"/>
  <c r="G205" i="20"/>
  <c r="O197" i="20"/>
  <c r="K197" i="20"/>
  <c r="G197" i="20"/>
  <c r="Q194" i="20"/>
  <c r="M194" i="20"/>
  <c r="I194" i="20"/>
  <c r="P188" i="20"/>
  <c r="L188" i="20"/>
  <c r="P178" i="20"/>
  <c r="L178" i="20"/>
  <c r="H178" i="20"/>
  <c r="P65" i="20"/>
  <c r="P64" i="20" s="1"/>
  <c r="L65" i="20"/>
  <c r="L64" i="20" s="1"/>
  <c r="H65" i="20"/>
  <c r="H64" i="20" s="1"/>
  <c r="N49" i="20"/>
  <c r="J49" i="20"/>
  <c r="R46" i="21"/>
  <c r="D46" i="21" s="1"/>
  <c r="F46" i="21" s="1"/>
  <c r="S171" i="21"/>
  <c r="AD172" i="21"/>
  <c r="AD30" i="21"/>
  <c r="N32" i="21"/>
  <c r="M48" i="21"/>
  <c r="M47" i="21" s="1"/>
  <c r="D200" i="21"/>
  <c r="F33" i="21"/>
  <c r="R42" i="21"/>
  <c r="D42" i="21" s="1"/>
  <c r="F42" i="21" s="1"/>
  <c r="AD49" i="21"/>
  <c r="S48" i="21"/>
  <c r="S47" i="21" s="1"/>
  <c r="AD182" i="21"/>
  <c r="T180" i="21"/>
  <c r="R50" i="21"/>
  <c r="AD52" i="21"/>
  <c r="R162" i="21"/>
  <c r="T161" i="21"/>
  <c r="X161" i="21"/>
  <c r="AB161" i="21"/>
  <c r="G171" i="21"/>
  <c r="R172" i="21"/>
  <c r="R184" i="21"/>
  <c r="H180" i="21"/>
  <c r="R190" i="21"/>
  <c r="H188" i="21"/>
  <c r="H187" i="21" s="1"/>
  <c r="H185" i="21" s="1"/>
  <c r="D191" i="21"/>
  <c r="F191" i="21" s="1"/>
  <c r="R52" i="21"/>
  <c r="AD174" i="21"/>
  <c r="T171" i="21"/>
  <c r="R176" i="21"/>
  <c r="D176" i="21" s="1"/>
  <c r="F176" i="21" s="1"/>
  <c r="J48" i="21"/>
  <c r="J47" i="21" s="1"/>
  <c r="N48" i="21"/>
  <c r="N47" i="21" s="1"/>
  <c r="V48" i="21"/>
  <c r="V47" i="21" s="1"/>
  <c r="Z48" i="21"/>
  <c r="Z47" i="21" s="1"/>
  <c r="AD164" i="21"/>
  <c r="G161" i="21"/>
  <c r="S161" i="21"/>
  <c r="R178" i="21"/>
  <c r="R189" i="21"/>
  <c r="AD189" i="21"/>
  <c r="S193" i="21"/>
  <c r="AD194" i="21"/>
  <c r="R195" i="21"/>
  <c r="G199" i="21"/>
  <c r="G198" i="21" s="1"/>
  <c r="G196" i="21" s="1"/>
  <c r="R201" i="21"/>
  <c r="D201" i="21" s="1"/>
  <c r="F201" i="21" s="1"/>
  <c r="AD202" i="21"/>
  <c r="AD199" i="21" s="1"/>
  <c r="AD198" i="21" s="1"/>
  <c r="AD196" i="21" s="1"/>
  <c r="T199" i="21"/>
  <c r="T198" i="21" s="1"/>
  <c r="T196" i="21" s="1"/>
  <c r="J180" i="21"/>
  <c r="V180" i="21"/>
  <c r="Z180" i="21"/>
  <c r="AD181" i="21"/>
  <c r="G193" i="21"/>
  <c r="G187" i="21" s="1"/>
  <c r="G185" i="21" s="1"/>
  <c r="R194" i="21"/>
  <c r="R202" i="21"/>
  <c r="H199" i="21"/>
  <c r="H198" i="21" s="1"/>
  <c r="H196" i="21" s="1"/>
  <c r="AC219" i="20"/>
  <c r="AC216" i="20" s="1"/>
  <c r="AC215" i="20" s="1"/>
  <c r="AC213" i="20" s="1"/>
  <c r="AB219" i="20"/>
  <c r="AB216" i="20" s="1"/>
  <c r="AB215" i="20" s="1"/>
  <c r="AB213" i="20" s="1"/>
  <c r="AA219" i="20"/>
  <c r="AA216" i="20" s="1"/>
  <c r="AA215" i="20" s="1"/>
  <c r="AA213" i="20" s="1"/>
  <c r="Z219" i="20"/>
  <c r="Z216" i="20" s="1"/>
  <c r="Z215" i="20" s="1"/>
  <c r="Z213" i="20" s="1"/>
  <c r="Y219" i="20"/>
  <c r="Y216" i="20" s="1"/>
  <c r="Y215" i="20" s="1"/>
  <c r="Y213" i="20" s="1"/>
  <c r="X219" i="20"/>
  <c r="X216" i="20" s="1"/>
  <c r="X215" i="20" s="1"/>
  <c r="X213" i="20" s="1"/>
  <c r="W219" i="20"/>
  <c r="W216" i="20" s="1"/>
  <c r="W215" i="20" s="1"/>
  <c r="W213" i="20" s="1"/>
  <c r="V219" i="20"/>
  <c r="V216" i="20" s="1"/>
  <c r="V215" i="20" s="1"/>
  <c r="V213" i="20" s="1"/>
  <c r="U219" i="20"/>
  <c r="U216" i="20" s="1"/>
  <c r="U215" i="20" s="1"/>
  <c r="U213" i="20" s="1"/>
  <c r="T219" i="20"/>
  <c r="S219" i="20"/>
  <c r="S216" i="20" s="1"/>
  <c r="S215" i="20" s="1"/>
  <c r="S213" i="20" s="1"/>
  <c r="AD218" i="20"/>
  <c r="AD217" i="20"/>
  <c r="E213" i="20"/>
  <c r="D214" i="20"/>
  <c r="E214" i="20" s="1"/>
  <c r="AC212" i="20"/>
  <c r="AB212" i="20"/>
  <c r="AA212" i="20"/>
  <c r="Z212" i="20"/>
  <c r="Y212" i="20"/>
  <c r="X212" i="20"/>
  <c r="W212" i="20"/>
  <c r="V212" i="20"/>
  <c r="U212" i="20"/>
  <c r="T212" i="20"/>
  <c r="S212" i="20"/>
  <c r="AC211" i="20"/>
  <c r="AB211" i="20"/>
  <c r="AA211" i="20"/>
  <c r="Z211" i="20"/>
  <c r="Y211" i="20"/>
  <c r="X211" i="20"/>
  <c r="W211" i="20"/>
  <c r="V211" i="20"/>
  <c r="U211" i="20"/>
  <c r="T211" i="20"/>
  <c r="S211" i="20"/>
  <c r="AC209" i="20"/>
  <c r="AB209" i="20"/>
  <c r="AA209" i="20"/>
  <c r="Z209" i="20"/>
  <c r="Y209" i="20"/>
  <c r="X209" i="20"/>
  <c r="W209" i="20"/>
  <c r="V209" i="20"/>
  <c r="U209" i="20"/>
  <c r="T209" i="20"/>
  <c r="S209" i="20"/>
  <c r="AC208" i="20"/>
  <c r="AB208" i="20"/>
  <c r="AA208" i="20"/>
  <c r="Z208" i="20"/>
  <c r="Y208" i="20"/>
  <c r="X208" i="20"/>
  <c r="W208" i="20"/>
  <c r="V208" i="20"/>
  <c r="U208" i="20"/>
  <c r="T208" i="20"/>
  <c r="S208" i="20"/>
  <c r="AC207" i="20"/>
  <c r="AB207" i="20"/>
  <c r="AA207" i="20"/>
  <c r="Z207" i="20"/>
  <c r="Y207" i="20"/>
  <c r="X207" i="20"/>
  <c r="W207" i="20"/>
  <c r="V207" i="20"/>
  <c r="U207" i="20"/>
  <c r="T207" i="20"/>
  <c r="S207" i="20"/>
  <c r="AC206" i="20"/>
  <c r="AB206" i="20"/>
  <c r="AA206" i="20"/>
  <c r="Z206" i="20"/>
  <c r="Y206" i="20"/>
  <c r="X206" i="20"/>
  <c r="W206" i="20"/>
  <c r="V206" i="20"/>
  <c r="U206" i="20"/>
  <c r="T206" i="20"/>
  <c r="S206" i="20"/>
  <c r="D203" i="20"/>
  <c r="E203" i="20" s="1"/>
  <c r="F203" i="20" s="1"/>
  <c r="AC201" i="20"/>
  <c r="AB201" i="20"/>
  <c r="AA201" i="20"/>
  <c r="Z201" i="20"/>
  <c r="Y201" i="20"/>
  <c r="X201" i="20"/>
  <c r="W201" i="20"/>
  <c r="V201" i="20"/>
  <c r="U201" i="20"/>
  <c r="T201" i="20"/>
  <c r="S201" i="20"/>
  <c r="AC200" i="20"/>
  <c r="AB200" i="20"/>
  <c r="AA200" i="20"/>
  <c r="Z200" i="20"/>
  <c r="Y200" i="20"/>
  <c r="X200" i="20"/>
  <c r="W200" i="20"/>
  <c r="V200" i="20"/>
  <c r="U200" i="20"/>
  <c r="T200" i="20"/>
  <c r="S200" i="20"/>
  <c r="AC199" i="20"/>
  <c r="AB199" i="20"/>
  <c r="AA199" i="20"/>
  <c r="Z199" i="20"/>
  <c r="Y199" i="20"/>
  <c r="X199" i="20"/>
  <c r="W199" i="20"/>
  <c r="V199" i="20"/>
  <c r="U199" i="20"/>
  <c r="T199" i="20"/>
  <c r="S199" i="20"/>
  <c r="AC198" i="20"/>
  <c r="AB198" i="20"/>
  <c r="AA198" i="20"/>
  <c r="Z198" i="20"/>
  <c r="Y198" i="20"/>
  <c r="X198" i="20"/>
  <c r="W198" i="20"/>
  <c r="V198" i="20"/>
  <c r="U198" i="20"/>
  <c r="T198" i="20"/>
  <c r="S198" i="20"/>
  <c r="AC196" i="20"/>
  <c r="AB196" i="20"/>
  <c r="AA196" i="20"/>
  <c r="Z196" i="20"/>
  <c r="Y196" i="20"/>
  <c r="X196" i="20"/>
  <c r="W196" i="20"/>
  <c r="V196" i="20"/>
  <c r="U196" i="20"/>
  <c r="T196" i="20"/>
  <c r="S196" i="20"/>
  <c r="AC195" i="20"/>
  <c r="AB195" i="20"/>
  <c r="AA195" i="20"/>
  <c r="Z195" i="20"/>
  <c r="Y195" i="20"/>
  <c r="X195" i="20"/>
  <c r="W195" i="20"/>
  <c r="V195" i="20"/>
  <c r="U195" i="20"/>
  <c r="T195" i="20"/>
  <c r="S195" i="20"/>
  <c r="AC193" i="20"/>
  <c r="AB193" i="20"/>
  <c r="AA193" i="20"/>
  <c r="Z193" i="20"/>
  <c r="Y193" i="20"/>
  <c r="X193" i="20"/>
  <c r="W193" i="20"/>
  <c r="V193" i="20"/>
  <c r="U193" i="20"/>
  <c r="T193" i="20"/>
  <c r="S193" i="20"/>
  <c r="AC192" i="20"/>
  <c r="AB192" i="20"/>
  <c r="AA192" i="20"/>
  <c r="Z192" i="20"/>
  <c r="Y192" i="20"/>
  <c r="X192" i="20"/>
  <c r="W192" i="20"/>
  <c r="V192" i="20"/>
  <c r="U192" i="20"/>
  <c r="T192" i="20"/>
  <c r="S192" i="20"/>
  <c r="AC191" i="20"/>
  <c r="AB191" i="20"/>
  <c r="AA191" i="20"/>
  <c r="Z191" i="20"/>
  <c r="Y191" i="20"/>
  <c r="X191" i="20"/>
  <c r="W191" i="20"/>
  <c r="V191" i="20"/>
  <c r="U191" i="20"/>
  <c r="T191" i="20"/>
  <c r="S191" i="20"/>
  <c r="AC190" i="20"/>
  <c r="AB190" i="20"/>
  <c r="AA190" i="20"/>
  <c r="Z190" i="20"/>
  <c r="Y190" i="20"/>
  <c r="X190" i="20"/>
  <c r="W190" i="20"/>
  <c r="V190" i="20"/>
  <c r="U190" i="20"/>
  <c r="T190" i="20"/>
  <c r="S190" i="20"/>
  <c r="AC189" i="20"/>
  <c r="AB189" i="20"/>
  <c r="AA189" i="20"/>
  <c r="Z189" i="20"/>
  <c r="Y189" i="20"/>
  <c r="X189" i="20"/>
  <c r="W189" i="20"/>
  <c r="V189" i="20"/>
  <c r="U189" i="20"/>
  <c r="T189" i="20"/>
  <c r="S189" i="20"/>
  <c r="AC181" i="20"/>
  <c r="AB181" i="20"/>
  <c r="AA181" i="20"/>
  <c r="Z181" i="20"/>
  <c r="Y181" i="20"/>
  <c r="X181" i="20"/>
  <c r="W181" i="20"/>
  <c r="V181" i="20"/>
  <c r="U181" i="20"/>
  <c r="T181" i="20"/>
  <c r="S181" i="20"/>
  <c r="AC180" i="20"/>
  <c r="AB180" i="20"/>
  <c r="AA180" i="20"/>
  <c r="Z180" i="20"/>
  <c r="Y180" i="20"/>
  <c r="X180" i="20"/>
  <c r="W180" i="20"/>
  <c r="V180" i="20"/>
  <c r="U180" i="20"/>
  <c r="T180" i="20"/>
  <c r="S180" i="20"/>
  <c r="AC179" i="20"/>
  <c r="AB179" i="20"/>
  <c r="AA179" i="20"/>
  <c r="Z179" i="20"/>
  <c r="Y179" i="20"/>
  <c r="X179" i="20"/>
  <c r="W179" i="20"/>
  <c r="V179" i="20"/>
  <c r="U179" i="20"/>
  <c r="T179" i="20"/>
  <c r="S179" i="20"/>
  <c r="D175" i="20"/>
  <c r="E175" i="20" s="1"/>
  <c r="AC69" i="20"/>
  <c r="AB69" i="20"/>
  <c r="AA69" i="20"/>
  <c r="Z69" i="20"/>
  <c r="Y69" i="20"/>
  <c r="X69" i="20"/>
  <c r="W69" i="20"/>
  <c r="V69" i="20"/>
  <c r="U69" i="20"/>
  <c r="T69" i="20"/>
  <c r="S69" i="20"/>
  <c r="AC68" i="20"/>
  <c r="AB68" i="20"/>
  <c r="AA68" i="20"/>
  <c r="Z68" i="20"/>
  <c r="Y68" i="20"/>
  <c r="X68" i="20"/>
  <c r="W68" i="20"/>
  <c r="V68" i="20"/>
  <c r="U68" i="20"/>
  <c r="T68" i="20"/>
  <c r="S68" i="20"/>
  <c r="AC67" i="20"/>
  <c r="AB67" i="20"/>
  <c r="AA67" i="20"/>
  <c r="Z67" i="20"/>
  <c r="Y67" i="20"/>
  <c r="X67" i="20"/>
  <c r="W67" i="20"/>
  <c r="V67" i="20"/>
  <c r="U67" i="20"/>
  <c r="T67" i="20"/>
  <c r="S67" i="20"/>
  <c r="AC66" i="20"/>
  <c r="AB66" i="20"/>
  <c r="AA66" i="20"/>
  <c r="Z66" i="20"/>
  <c r="Y66" i="20"/>
  <c r="X66" i="20"/>
  <c r="W66" i="20"/>
  <c r="V66" i="20"/>
  <c r="U66" i="20"/>
  <c r="T66" i="20"/>
  <c r="S66" i="20"/>
  <c r="D65" i="20"/>
  <c r="AD63" i="20"/>
  <c r="AD62" i="20"/>
  <c r="AD61" i="20"/>
  <c r="R61" i="20"/>
  <c r="AD60" i="20"/>
  <c r="AD59" i="20"/>
  <c r="R60" i="20"/>
  <c r="AD58" i="20"/>
  <c r="R58" i="20"/>
  <c r="AD57" i="20"/>
  <c r="R57" i="20"/>
  <c r="AD56" i="20"/>
  <c r="R56" i="20"/>
  <c r="AD55" i="20"/>
  <c r="R55" i="20"/>
  <c r="AD54" i="20"/>
  <c r="R54" i="20"/>
  <c r="AD53" i="20"/>
  <c r="R53" i="20"/>
  <c r="AD52" i="20"/>
  <c r="R52" i="20"/>
  <c r="AD51" i="20"/>
  <c r="R51" i="20"/>
  <c r="AD50" i="20"/>
  <c r="AC49" i="20"/>
  <c r="AB49" i="20"/>
  <c r="AA49" i="20"/>
  <c r="Z49" i="20"/>
  <c r="Y49" i="20"/>
  <c r="X49" i="20"/>
  <c r="W49" i="20"/>
  <c r="V49" i="20"/>
  <c r="U49" i="20"/>
  <c r="T49" i="20"/>
  <c r="S49" i="20"/>
  <c r="E49" i="20"/>
  <c r="AC47" i="20"/>
  <c r="AB47" i="20"/>
  <c r="AA47" i="20"/>
  <c r="Z47" i="20"/>
  <c r="Y47" i="20"/>
  <c r="X47" i="20"/>
  <c r="W47" i="20"/>
  <c r="V47" i="20"/>
  <c r="U47" i="20"/>
  <c r="T47" i="20"/>
  <c r="S47" i="20"/>
  <c r="AC46" i="20"/>
  <c r="AB46" i="20"/>
  <c r="AA46" i="20"/>
  <c r="Z46" i="20"/>
  <c r="Y46" i="20"/>
  <c r="X46" i="20"/>
  <c r="W46" i="20"/>
  <c r="V46" i="20"/>
  <c r="U46" i="20"/>
  <c r="T46" i="20"/>
  <c r="S46" i="20"/>
  <c r="E45" i="20"/>
  <c r="E44" i="20"/>
  <c r="D42" i="20"/>
  <c r="E42" i="20" s="1"/>
  <c r="R98" i="7"/>
  <c r="O98" i="7"/>
  <c r="J65" i="7"/>
  <c r="L34" i="7"/>
  <c r="I90" i="8"/>
  <c r="I19" i="8"/>
  <c r="P13" i="7"/>
  <c r="Q13" i="7"/>
  <c r="T13" i="7"/>
  <c r="U13" i="7"/>
  <c r="V13" i="7"/>
  <c r="W13" i="7"/>
  <c r="X13" i="7"/>
  <c r="Y13" i="7"/>
  <c r="AA13" i="7"/>
  <c r="AB13" i="7"/>
  <c r="AC13" i="7"/>
  <c r="K13" i="7"/>
  <c r="L13" i="7"/>
  <c r="N13" i="7"/>
  <c r="O13" i="7"/>
  <c r="F13" i="7"/>
  <c r="H13" i="7"/>
  <c r="I13" i="7"/>
  <c r="S13" i="21" l="1"/>
  <c r="R14" i="21" s="1"/>
  <c r="H29" i="21"/>
  <c r="H46" i="20"/>
  <c r="M29" i="21"/>
  <c r="M46" i="20"/>
  <c r="Q200" i="20"/>
  <c r="Q197" i="20" s="1"/>
  <c r="Q183" i="21"/>
  <c r="Q180" i="21" s="1"/>
  <c r="P29" i="21"/>
  <c r="P46" i="20"/>
  <c r="G46" i="20"/>
  <c r="G29" i="21"/>
  <c r="I47" i="1"/>
  <c r="I183" i="20"/>
  <c r="I166" i="21"/>
  <c r="O46" i="20"/>
  <c r="O29" i="21"/>
  <c r="K46" i="20"/>
  <c r="K29" i="21"/>
  <c r="E50" i="21"/>
  <c r="F50" i="21" s="1"/>
  <c r="N46" i="20"/>
  <c r="N29" i="21"/>
  <c r="J46" i="20"/>
  <c r="J29" i="21"/>
  <c r="N183" i="21"/>
  <c r="N200" i="20"/>
  <c r="N197" i="20" s="1"/>
  <c r="S187" i="21"/>
  <c r="S185" i="21" s="1"/>
  <c r="Z187" i="21"/>
  <c r="Z185" i="21" s="1"/>
  <c r="D195" i="21"/>
  <c r="F195" i="21" s="1"/>
  <c r="AD193" i="21"/>
  <c r="Y187" i="21"/>
  <c r="Y185" i="21" s="1"/>
  <c r="AA187" i="21"/>
  <c r="AA185" i="21" s="1"/>
  <c r="N187" i="21"/>
  <c r="N185" i="21" s="1"/>
  <c r="D202" i="21"/>
  <c r="F202" i="21" s="1"/>
  <c r="D184" i="21"/>
  <c r="F184" i="21" s="1"/>
  <c r="D192" i="21"/>
  <c r="F192" i="21" s="1"/>
  <c r="AD180" i="21"/>
  <c r="E51" i="21"/>
  <c r="F51" i="21" s="1"/>
  <c r="AD171" i="21"/>
  <c r="AD177" i="21"/>
  <c r="D182" i="21"/>
  <c r="F182" i="21" s="1"/>
  <c r="D190" i="21"/>
  <c r="F190" i="21" s="1"/>
  <c r="D179" i="21"/>
  <c r="F179" i="21" s="1"/>
  <c r="AD188" i="21"/>
  <c r="AD187" i="21" s="1"/>
  <c r="AD185" i="21" s="1"/>
  <c r="E52" i="21"/>
  <c r="F52" i="21" s="1"/>
  <c r="AD48" i="21"/>
  <c r="AD47" i="21" s="1"/>
  <c r="R199" i="21"/>
  <c r="R198" i="21" s="1"/>
  <c r="R196" i="21" s="1"/>
  <c r="D164" i="21"/>
  <c r="F164" i="21" s="1"/>
  <c r="O204" i="20"/>
  <c r="O202" i="20" s="1"/>
  <c r="J204" i="20"/>
  <c r="J202" i="20" s="1"/>
  <c r="G204" i="20"/>
  <c r="G202" i="20" s="1"/>
  <c r="Q204" i="20"/>
  <c r="Q202" i="20" s="1"/>
  <c r="M204" i="20"/>
  <c r="M202" i="20" s="1"/>
  <c r="P204" i="20"/>
  <c r="P202" i="20" s="1"/>
  <c r="K204" i="20"/>
  <c r="K202" i="20" s="1"/>
  <c r="L204" i="20"/>
  <c r="L202" i="20" s="1"/>
  <c r="N204" i="20"/>
  <c r="N202" i="20" s="1"/>
  <c r="I204" i="20"/>
  <c r="I202" i="20" s="1"/>
  <c r="H204" i="20"/>
  <c r="H202" i="20" s="1"/>
  <c r="E43" i="20"/>
  <c r="R62" i="20"/>
  <c r="D62" i="20" s="1"/>
  <c r="F62" i="20" s="1"/>
  <c r="D172" i="21"/>
  <c r="D162" i="21"/>
  <c r="R161" i="21"/>
  <c r="D32" i="21"/>
  <c r="F32" i="21" s="1"/>
  <c r="F200" i="21"/>
  <c r="D199" i="21"/>
  <c r="D198" i="21" s="1"/>
  <c r="AD161" i="21"/>
  <c r="D194" i="21"/>
  <c r="R193" i="21"/>
  <c r="E49" i="21"/>
  <c r="R188" i="21"/>
  <c r="D189" i="21"/>
  <c r="R177" i="21"/>
  <c r="D178" i="21"/>
  <c r="R32" i="21"/>
  <c r="R48" i="21"/>
  <c r="R47" i="21" s="1"/>
  <c r="E202" i="20"/>
  <c r="D53" i="20"/>
  <c r="F53" i="20" s="1"/>
  <c r="F175" i="20"/>
  <c r="D52" i="20"/>
  <c r="F52" i="20" s="1"/>
  <c r="D55" i="20"/>
  <c r="F55" i="20" s="1"/>
  <c r="D58" i="20"/>
  <c r="F58" i="20" s="1"/>
  <c r="D61" i="20"/>
  <c r="F61" i="20" s="1"/>
  <c r="E174" i="20"/>
  <c r="F214" i="20"/>
  <c r="AD49" i="20"/>
  <c r="D57" i="20"/>
  <c r="F57" i="20" s="1"/>
  <c r="D51" i="20"/>
  <c r="F51" i="20" s="1"/>
  <c r="D54" i="20"/>
  <c r="F54" i="20" s="1"/>
  <c r="D56" i="20"/>
  <c r="F56" i="20" s="1"/>
  <c r="D60" i="20"/>
  <c r="F60" i="20" s="1"/>
  <c r="R63" i="20"/>
  <c r="D63" i="20" s="1"/>
  <c r="F63" i="20" s="1"/>
  <c r="T178" i="20"/>
  <c r="V194" i="20"/>
  <c r="Z194" i="20"/>
  <c r="AA197" i="20"/>
  <c r="AC65" i="20"/>
  <c r="AC64" i="20" s="1"/>
  <c r="W205" i="20"/>
  <c r="S205" i="20"/>
  <c r="AA205" i="20"/>
  <c r="S65" i="20"/>
  <c r="S64" i="20" s="1"/>
  <c r="W65" i="20"/>
  <c r="W64" i="20" s="1"/>
  <c r="AA65" i="20"/>
  <c r="AA64" i="20" s="1"/>
  <c r="R67" i="20"/>
  <c r="U65" i="20"/>
  <c r="U64" i="20" s="1"/>
  <c r="Y65" i="20"/>
  <c r="Y64" i="20" s="1"/>
  <c r="R68" i="20"/>
  <c r="R69" i="20"/>
  <c r="U188" i="20"/>
  <c r="Y188" i="20"/>
  <c r="S197" i="20"/>
  <c r="W197" i="20"/>
  <c r="W210" i="20"/>
  <c r="AA210" i="20"/>
  <c r="T188" i="20"/>
  <c r="X188" i="20"/>
  <c r="AB188" i="20"/>
  <c r="AC188" i="20"/>
  <c r="W188" i="20"/>
  <c r="U210" i="20"/>
  <c r="Y210" i="20"/>
  <c r="AC210" i="20"/>
  <c r="V210" i="20"/>
  <c r="Z210" i="20"/>
  <c r="R218" i="20"/>
  <c r="AD219" i="20"/>
  <c r="AD216" i="20" s="1"/>
  <c r="AD215" i="20" s="1"/>
  <c r="AD213" i="20" s="1"/>
  <c r="AB178" i="20"/>
  <c r="Z178" i="20"/>
  <c r="S194" i="20"/>
  <c r="AA194" i="20"/>
  <c r="Z197" i="20"/>
  <c r="T197" i="20"/>
  <c r="X197" i="20"/>
  <c r="AB197" i="20"/>
  <c r="U178" i="20"/>
  <c r="Y178" i="20"/>
  <c r="AC178" i="20"/>
  <c r="S188" i="20"/>
  <c r="AA188" i="20"/>
  <c r="T194" i="20"/>
  <c r="X194" i="20"/>
  <c r="AB194" i="20"/>
  <c r="U197" i="20"/>
  <c r="Y197" i="20"/>
  <c r="AC197" i="20"/>
  <c r="U205" i="20"/>
  <c r="Y205" i="20"/>
  <c r="AC205" i="20"/>
  <c r="AD198" i="20"/>
  <c r="R199" i="20"/>
  <c r="AD200" i="20"/>
  <c r="AD211" i="20"/>
  <c r="T210" i="20"/>
  <c r="X210" i="20"/>
  <c r="AB210" i="20"/>
  <c r="AB65" i="20"/>
  <c r="AB64" i="20" s="1"/>
  <c r="V178" i="20"/>
  <c r="R180" i="20"/>
  <c r="X178" i="20"/>
  <c r="AD195" i="20"/>
  <c r="W194" i="20"/>
  <c r="T205" i="20"/>
  <c r="X205" i="20"/>
  <c r="AB205" i="20"/>
  <c r="T216" i="20"/>
  <c r="T215" i="20" s="1"/>
  <c r="T213" i="20" s="1"/>
  <c r="AD47" i="20"/>
  <c r="R50" i="20"/>
  <c r="D50" i="20" s="1"/>
  <c r="F50" i="20" s="1"/>
  <c r="AD189" i="20"/>
  <c r="Z188" i="20"/>
  <c r="AD191" i="20"/>
  <c r="R192" i="20"/>
  <c r="AD193" i="20"/>
  <c r="U194" i="20"/>
  <c r="Y194" i="20"/>
  <c r="AC194" i="20"/>
  <c r="AD196" i="20"/>
  <c r="AD206" i="20"/>
  <c r="Z205" i="20"/>
  <c r="R207" i="20"/>
  <c r="AD208" i="20"/>
  <c r="V65" i="20"/>
  <c r="V64" i="20" s="1"/>
  <c r="Z65" i="20"/>
  <c r="Z64" i="20" s="1"/>
  <c r="AD67" i="20"/>
  <c r="X65" i="20"/>
  <c r="X64" i="20" s="1"/>
  <c r="AD68" i="20"/>
  <c r="AD69" i="20"/>
  <c r="R189" i="20"/>
  <c r="R193" i="20"/>
  <c r="AD199" i="20"/>
  <c r="AD201" i="20"/>
  <c r="R206" i="20"/>
  <c r="R208" i="20"/>
  <c r="AD212" i="20"/>
  <c r="R219" i="20"/>
  <c r="AD190" i="20"/>
  <c r="AD192" i="20"/>
  <c r="R195" i="20"/>
  <c r="R200" i="20"/>
  <c r="AD207" i="20"/>
  <c r="AD209" i="20"/>
  <c r="T65" i="20"/>
  <c r="T64" i="20" s="1"/>
  <c r="R66" i="20"/>
  <c r="AD66" i="20"/>
  <c r="AD180" i="20"/>
  <c r="R179" i="20"/>
  <c r="R59" i="20"/>
  <c r="D64" i="20"/>
  <c r="AD179" i="20"/>
  <c r="S178" i="20"/>
  <c r="W178" i="20"/>
  <c r="AA178" i="20"/>
  <c r="AD181" i="20"/>
  <c r="AD46" i="20"/>
  <c r="V188" i="20"/>
  <c r="V197" i="20"/>
  <c r="V205" i="20"/>
  <c r="S210" i="20"/>
  <c r="R83" i="3"/>
  <c r="N83" i="3"/>
  <c r="J104" i="8"/>
  <c r="R183" i="21" l="1"/>
  <c r="D183" i="21" s="1"/>
  <c r="F183" i="21" s="1"/>
  <c r="N180" i="21"/>
  <c r="F199" i="21"/>
  <c r="R187" i="21"/>
  <c r="R185" i="21" s="1"/>
  <c r="R181" i="20"/>
  <c r="R178" i="20" s="1"/>
  <c r="R196" i="20"/>
  <c r="R194" i="20" s="1"/>
  <c r="R209" i="20"/>
  <c r="R205" i="20" s="1"/>
  <c r="R211" i="20"/>
  <c r="R212" i="20"/>
  <c r="R217" i="20"/>
  <c r="R216" i="20" s="1"/>
  <c r="R215" i="20" s="1"/>
  <c r="R213" i="20" s="1"/>
  <c r="F198" i="21"/>
  <c r="D196" i="21"/>
  <c r="F196" i="21" s="1"/>
  <c r="F162" i="21"/>
  <c r="D161" i="21"/>
  <c r="F189" i="21"/>
  <c r="D188" i="21"/>
  <c r="F49" i="21"/>
  <c r="E48" i="21"/>
  <c r="F178" i="21"/>
  <c r="D177" i="21"/>
  <c r="F177" i="21" s="1"/>
  <c r="F194" i="21"/>
  <c r="F193" i="21" s="1"/>
  <c r="D193" i="21"/>
  <c r="F172" i="21"/>
  <c r="E68" i="20"/>
  <c r="F68" i="20" s="1"/>
  <c r="E69" i="20"/>
  <c r="F69" i="20" s="1"/>
  <c r="AA204" i="20"/>
  <c r="AA202" i="20" s="1"/>
  <c r="Y204" i="20"/>
  <c r="Y202" i="20" s="1"/>
  <c r="W204" i="20"/>
  <c r="W202" i="20" s="1"/>
  <c r="E67" i="20"/>
  <c r="F67" i="20" s="1"/>
  <c r="S204" i="20"/>
  <c r="S202" i="20" s="1"/>
  <c r="AD194" i="20"/>
  <c r="U204" i="20"/>
  <c r="U202" i="20" s="1"/>
  <c r="T204" i="20"/>
  <c r="T202" i="20" s="1"/>
  <c r="AD210" i="20"/>
  <c r="Z204" i="20"/>
  <c r="Z202" i="20" s="1"/>
  <c r="AD197" i="20"/>
  <c r="AD65" i="20"/>
  <c r="AD64" i="20" s="1"/>
  <c r="AB204" i="20"/>
  <c r="AB202" i="20" s="1"/>
  <c r="V204" i="20"/>
  <c r="V202" i="20" s="1"/>
  <c r="AC204" i="20"/>
  <c r="AC202" i="20" s="1"/>
  <c r="X204" i="20"/>
  <c r="X202" i="20" s="1"/>
  <c r="AD205" i="20"/>
  <c r="AD188" i="20"/>
  <c r="AD178" i="20"/>
  <c r="E66" i="20"/>
  <c r="R65" i="20"/>
  <c r="R64" i="20" s="1"/>
  <c r="D59" i="20"/>
  <c r="R49" i="20"/>
  <c r="C50" i="11"/>
  <c r="F47" i="11"/>
  <c r="E47" i="11"/>
  <c r="D47" i="11"/>
  <c r="I95" i="7"/>
  <c r="R201" i="20" l="1"/>
  <c r="R210" i="20"/>
  <c r="R204" i="20" s="1"/>
  <c r="R202" i="20" s="1"/>
  <c r="F188" i="21"/>
  <c r="D187" i="21"/>
  <c r="F161" i="21"/>
  <c r="E47" i="21"/>
  <c r="F48" i="21"/>
  <c r="AD204" i="20"/>
  <c r="AD202" i="20" s="1"/>
  <c r="D213" i="20"/>
  <c r="F213" i="20" s="1"/>
  <c r="F59" i="20"/>
  <c r="D49" i="20"/>
  <c r="F49" i="20" s="1"/>
  <c r="E65" i="20"/>
  <c r="F66" i="20"/>
  <c r="G44" i="11"/>
  <c r="F45" i="11"/>
  <c r="E45" i="11"/>
  <c r="D45" i="11"/>
  <c r="D50" i="11" s="1"/>
  <c r="N19" i="11"/>
  <c r="F187" i="21" l="1"/>
  <c r="D185" i="21"/>
  <c r="F185" i="21" s="1"/>
  <c r="F47" i="21"/>
  <c r="E24" i="21"/>
  <c r="E22" i="21" s="1"/>
  <c r="E64" i="20"/>
  <c r="F65" i="20"/>
  <c r="E46" i="11"/>
  <c r="E48" i="11" s="1"/>
  <c r="E50" i="11"/>
  <c r="E51" i="11" s="1"/>
  <c r="F50" i="11"/>
  <c r="F51" i="11" s="1"/>
  <c r="F46" i="11"/>
  <c r="F48" i="11" s="1"/>
  <c r="C24" i="16"/>
  <c r="R91" i="3"/>
  <c r="O86" i="3"/>
  <c r="D202" i="20" l="1"/>
  <c r="F202" i="20" s="1"/>
  <c r="D174" i="20"/>
  <c r="F174" i="20"/>
  <c r="E41" i="20"/>
  <c r="E39" i="20" s="1"/>
  <c r="F64" i="20"/>
  <c r="AE44" i="4"/>
  <c r="S44" i="4"/>
  <c r="AA43" i="4"/>
  <c r="T43" i="4"/>
  <c r="U43" i="4"/>
  <c r="V43" i="4"/>
  <c r="W43" i="4"/>
  <c r="X43" i="4"/>
  <c r="Y43" i="4"/>
  <c r="Z43" i="4"/>
  <c r="AB43" i="4"/>
  <c r="AC43" i="4"/>
  <c r="AD43" i="4"/>
  <c r="Q43" i="4"/>
  <c r="R43" i="4"/>
  <c r="M43" i="4"/>
  <c r="N43" i="4"/>
  <c r="O43" i="4"/>
  <c r="P43" i="4"/>
  <c r="I43" i="4"/>
  <c r="J43" i="4"/>
  <c r="K43" i="4"/>
  <c r="L43" i="4"/>
  <c r="H43" i="4"/>
  <c r="E43" i="4"/>
  <c r="Z13" i="11"/>
  <c r="AD10" i="11"/>
  <c r="AB10" i="11"/>
  <c r="AE63" i="4"/>
  <c r="S63" i="4"/>
  <c r="M14" i="11"/>
  <c r="M12" i="11"/>
  <c r="M11" i="11"/>
  <c r="L17" i="11"/>
  <c r="L19" i="11" s="1"/>
  <c r="F44" i="4" l="1"/>
  <c r="M17" i="11"/>
  <c r="E63" i="4"/>
  <c r="G63" i="4" s="1"/>
  <c r="G44" i="4" l="1"/>
  <c r="J124" i="3"/>
  <c r="J96" i="7"/>
  <c r="I3" i="4"/>
  <c r="I3" i="3"/>
  <c r="D43" i="11"/>
  <c r="W26" i="18"/>
  <c r="AE24" i="10"/>
  <c r="AE7" i="10" s="1"/>
  <c r="AC25" i="10"/>
  <c r="AC24" i="10" s="1"/>
  <c r="AB25" i="10"/>
  <c r="AB24" i="10" s="1"/>
  <c r="AA25" i="10"/>
  <c r="AA24" i="10" s="1"/>
  <c r="Z25" i="10"/>
  <c r="Z24" i="10" s="1"/>
  <c r="Y25" i="10"/>
  <c r="Y24" i="10" s="1"/>
  <c r="X25" i="10"/>
  <c r="X24" i="10" s="1"/>
  <c r="W25" i="10"/>
  <c r="W24" i="10" s="1"/>
  <c r="V25" i="10"/>
  <c r="V24" i="10" s="1"/>
  <c r="U25" i="10"/>
  <c r="U24" i="10" s="1"/>
  <c r="T25" i="10"/>
  <c r="T24" i="10" s="1"/>
  <c r="S25" i="10"/>
  <c r="Q25" i="10"/>
  <c r="Q24" i="10" s="1"/>
  <c r="P25" i="10"/>
  <c r="P24" i="10" s="1"/>
  <c r="O25" i="10"/>
  <c r="O24" i="10" s="1"/>
  <c r="N25" i="10"/>
  <c r="N24" i="10" s="1"/>
  <c r="M25" i="10"/>
  <c r="M24" i="10" s="1"/>
  <c r="L25" i="10"/>
  <c r="L24" i="10" s="1"/>
  <c r="K25" i="10"/>
  <c r="K24" i="10" s="1"/>
  <c r="J25" i="10"/>
  <c r="J24" i="10" s="1"/>
  <c r="I25" i="10"/>
  <c r="I24" i="10" s="1"/>
  <c r="H25" i="10"/>
  <c r="H24" i="10" s="1"/>
  <c r="G25" i="10"/>
  <c r="G24" i="10" s="1"/>
  <c r="K53" i="4"/>
  <c r="K52" i="4" s="1"/>
  <c r="I53" i="4"/>
  <c r="I52" i="4" s="1"/>
  <c r="J53" i="4"/>
  <c r="J52" i="4" s="1"/>
  <c r="L53" i="4"/>
  <c r="L52" i="4" s="1"/>
  <c r="M53" i="4"/>
  <c r="M52" i="4" s="1"/>
  <c r="N53" i="4"/>
  <c r="N52" i="4" s="1"/>
  <c r="O53" i="4"/>
  <c r="O52" i="4" s="1"/>
  <c r="P53" i="4"/>
  <c r="P52" i="4" s="1"/>
  <c r="Q53" i="4"/>
  <c r="Q52" i="4" s="1"/>
  <c r="R53" i="4"/>
  <c r="R52" i="4" s="1"/>
  <c r="AE54" i="4"/>
  <c r="AE53" i="4" s="1"/>
  <c r="AE52" i="4" s="1"/>
  <c r="S54" i="4"/>
  <c r="D25" i="10" s="1"/>
  <c r="AD53" i="4"/>
  <c r="AD52" i="4" s="1"/>
  <c r="AC53" i="4"/>
  <c r="AC52" i="4" s="1"/>
  <c r="AB53" i="4"/>
  <c r="AB52" i="4" s="1"/>
  <c r="AA53" i="4"/>
  <c r="AA52" i="4" s="1"/>
  <c r="Z53" i="4"/>
  <c r="Z52" i="4" s="1"/>
  <c r="Y53" i="4"/>
  <c r="Y52" i="4" s="1"/>
  <c r="X53" i="4"/>
  <c r="X52" i="4" s="1"/>
  <c r="W53" i="4"/>
  <c r="W52" i="4" s="1"/>
  <c r="V53" i="4"/>
  <c r="V52" i="4" s="1"/>
  <c r="U53" i="4"/>
  <c r="U52" i="4" s="1"/>
  <c r="T53" i="4"/>
  <c r="T52" i="4" s="1"/>
  <c r="H53" i="4"/>
  <c r="H52" i="4" s="1"/>
  <c r="U15" i="18"/>
  <c r="U16" i="18"/>
  <c r="U13" i="18"/>
  <c r="W13" i="18" s="1"/>
  <c r="Z33" i="9"/>
  <c r="V33" i="9"/>
  <c r="O33" i="9"/>
  <c r="K33" i="9"/>
  <c r="U91" i="3"/>
  <c r="AE91" i="3" s="1"/>
  <c r="S91" i="3"/>
  <c r="AE90" i="3"/>
  <c r="S90" i="3"/>
  <c r="AD89" i="3"/>
  <c r="AC33" i="9" s="1"/>
  <c r="AC89" i="3"/>
  <c r="AB89" i="3"/>
  <c r="AA33" i="9" s="1"/>
  <c r="AA89" i="3"/>
  <c r="Z89" i="3"/>
  <c r="Y33" i="9" s="1"/>
  <c r="Y89" i="3"/>
  <c r="X33" i="9" s="1"/>
  <c r="X89" i="3"/>
  <c r="W33" i="9" s="1"/>
  <c r="W89" i="3"/>
  <c r="V89" i="3"/>
  <c r="U33" i="9" s="1"/>
  <c r="T89" i="3"/>
  <c r="S33" i="9" s="1"/>
  <c r="R89" i="3"/>
  <c r="Q33" i="9" s="1"/>
  <c r="Q89" i="3"/>
  <c r="P33" i="9" s="1"/>
  <c r="P89" i="3"/>
  <c r="O89" i="3"/>
  <c r="N33" i="9" s="1"/>
  <c r="N89" i="3"/>
  <c r="M33" i="9" s="1"/>
  <c r="M89" i="3"/>
  <c r="L33" i="9" s="1"/>
  <c r="L89" i="3"/>
  <c r="K89" i="3"/>
  <c r="J33" i="9" s="1"/>
  <c r="J89" i="3"/>
  <c r="I33" i="9" s="1"/>
  <c r="I89" i="3"/>
  <c r="H33" i="9" s="1"/>
  <c r="H89" i="3"/>
  <c r="G33" i="9" s="1"/>
  <c r="E89" i="3"/>
  <c r="U31" i="18"/>
  <c r="U30" i="18" s="1"/>
  <c r="T30" i="18"/>
  <c r="S30" i="18"/>
  <c r="R30" i="18"/>
  <c r="Q30" i="18"/>
  <c r="U29" i="18"/>
  <c r="U28" i="18"/>
  <c r="U27" i="18"/>
  <c r="U26" i="18"/>
  <c r="S24" i="18"/>
  <c r="T24" i="18"/>
  <c r="R24" i="18"/>
  <c r="Q24" i="18"/>
  <c r="U23" i="18"/>
  <c r="U22" i="18" s="1"/>
  <c r="T22" i="18"/>
  <c r="S22" i="18"/>
  <c r="R22" i="18"/>
  <c r="Q22" i="18"/>
  <c r="U21" i="18"/>
  <c r="W21" i="18" s="1"/>
  <c r="U20" i="18"/>
  <c r="U19" i="18"/>
  <c r="U18" i="18"/>
  <c r="T17" i="18"/>
  <c r="S17" i="18"/>
  <c r="R17" i="18"/>
  <c r="Q17" i="18"/>
  <c r="T12" i="18"/>
  <c r="S12" i="18"/>
  <c r="R12" i="18"/>
  <c r="Q12" i="18"/>
  <c r="H30" i="18"/>
  <c r="I30" i="18"/>
  <c r="J30" i="18"/>
  <c r="G30" i="18"/>
  <c r="H24" i="18"/>
  <c r="J24" i="18"/>
  <c r="G24" i="18"/>
  <c r="H22" i="18"/>
  <c r="I22" i="18"/>
  <c r="J22" i="18"/>
  <c r="G22" i="18"/>
  <c r="H17" i="18"/>
  <c r="I17" i="18"/>
  <c r="J17" i="18"/>
  <c r="G17" i="18"/>
  <c r="H12" i="18"/>
  <c r="I12" i="18"/>
  <c r="J12" i="18"/>
  <c r="G12" i="18"/>
  <c r="K31" i="18"/>
  <c r="K30" i="18" s="1"/>
  <c r="K26" i="18"/>
  <c r="K27" i="18"/>
  <c r="K28" i="18"/>
  <c r="K29" i="18"/>
  <c r="I25" i="18"/>
  <c r="I24" i="18" s="1"/>
  <c r="K23" i="18"/>
  <c r="K22" i="18" s="1"/>
  <c r="K19" i="18"/>
  <c r="K20" i="18"/>
  <c r="K21" i="18"/>
  <c r="K18" i="18"/>
  <c r="K14" i="18"/>
  <c r="K15" i="18"/>
  <c r="K16" i="18"/>
  <c r="K13" i="18"/>
  <c r="B5" i="18"/>
  <c r="F90" i="3" l="1"/>
  <c r="G90" i="3" s="1"/>
  <c r="J95" i="7"/>
  <c r="I181" i="21"/>
  <c r="I198" i="20"/>
  <c r="V31" i="18"/>
  <c r="V11" i="18" s="1"/>
  <c r="U12" i="18"/>
  <c r="AE89" i="3"/>
  <c r="W23" i="18"/>
  <c r="W11" i="18" s="1"/>
  <c r="AB33" i="9"/>
  <c r="D46" i="11"/>
  <c r="C43" i="11"/>
  <c r="C46" i="11" s="1"/>
  <c r="C48" i="11" s="1"/>
  <c r="F54" i="4"/>
  <c r="G54" i="4" s="1"/>
  <c r="G53" i="4" s="1"/>
  <c r="G52" i="4" s="1"/>
  <c r="AD25" i="10"/>
  <c r="AD24" i="10" s="1"/>
  <c r="S24" i="10"/>
  <c r="D24" i="10"/>
  <c r="S89" i="3"/>
  <c r="R25" i="10"/>
  <c r="R24" i="10" s="1"/>
  <c r="S53" i="4"/>
  <c r="S52" i="4" s="1"/>
  <c r="E53" i="4"/>
  <c r="E52" i="4" s="1"/>
  <c r="R11" i="18"/>
  <c r="Q11" i="18"/>
  <c r="T11" i="18"/>
  <c r="U25" i="18"/>
  <c r="U24" i="18" s="1"/>
  <c r="G11" i="18"/>
  <c r="U17" i="18"/>
  <c r="S11" i="18"/>
  <c r="H11" i="18"/>
  <c r="F91" i="3"/>
  <c r="G91" i="3" s="1"/>
  <c r="G89" i="3"/>
  <c r="U89" i="3"/>
  <c r="T33" i="9" s="1"/>
  <c r="K25" i="18"/>
  <c r="K24" i="18" s="1"/>
  <c r="I11" i="18"/>
  <c r="K12" i="18"/>
  <c r="K17" i="18"/>
  <c r="J11" i="18"/>
  <c r="D48" i="11" l="1"/>
  <c r="D61" i="11"/>
  <c r="I180" i="21"/>
  <c r="R181" i="21"/>
  <c r="I197" i="20"/>
  <c r="R198" i="20"/>
  <c r="R197" i="20" s="1"/>
  <c r="E49" i="11"/>
  <c r="F49" i="11"/>
  <c r="F53" i="4"/>
  <c r="F52" i="4" s="1"/>
  <c r="E25" i="10"/>
  <c r="U11" i="18"/>
  <c r="F89" i="3"/>
  <c r="K11" i="18"/>
  <c r="R180" i="21" l="1"/>
  <c r="D181" i="21"/>
  <c r="E24" i="10"/>
  <c r="F25" i="10"/>
  <c r="F24" i="10" s="1"/>
  <c r="O36" i="8"/>
  <c r="M66" i="3"/>
  <c r="F181" i="21" l="1"/>
  <c r="D180" i="21"/>
  <c r="F180" i="21" s="1"/>
  <c r="AB73" i="4"/>
  <c r="P73" i="4"/>
  <c r="Y87" i="3" l="1"/>
  <c r="O70" i="3"/>
  <c r="N70" i="3"/>
  <c r="D54" i="11"/>
  <c r="E21" i="16" l="1"/>
  <c r="F21" i="16"/>
  <c r="G21" i="16"/>
  <c r="H21" i="16"/>
  <c r="I21" i="16"/>
  <c r="J21" i="16"/>
  <c r="K21" i="16"/>
  <c r="L21" i="16"/>
  <c r="M21" i="16"/>
  <c r="N21" i="16"/>
  <c r="P21" i="16"/>
  <c r="Q21" i="16"/>
  <c r="R21" i="16"/>
  <c r="S21" i="16"/>
  <c r="T21" i="16"/>
  <c r="U21" i="16"/>
  <c r="V21" i="16"/>
  <c r="W21" i="16"/>
  <c r="X21" i="16"/>
  <c r="Y21" i="16"/>
  <c r="Z21" i="16"/>
  <c r="D21" i="16"/>
  <c r="E12" i="16"/>
  <c r="F12" i="16"/>
  <c r="G12" i="16"/>
  <c r="H12" i="16"/>
  <c r="I12" i="16"/>
  <c r="J12" i="16"/>
  <c r="K12" i="16"/>
  <c r="L12" i="16"/>
  <c r="M12" i="16"/>
  <c r="N12" i="16"/>
  <c r="P12" i="16"/>
  <c r="Q12" i="16"/>
  <c r="R12" i="16"/>
  <c r="S12" i="16"/>
  <c r="T12" i="16"/>
  <c r="U12" i="16"/>
  <c r="V12" i="16"/>
  <c r="W12" i="16"/>
  <c r="X12" i="16"/>
  <c r="Y12" i="16"/>
  <c r="Z12" i="16"/>
  <c r="D12" i="16"/>
  <c r="E3" i="16"/>
  <c r="F3" i="16"/>
  <c r="G3" i="16"/>
  <c r="H3" i="16"/>
  <c r="I3" i="16"/>
  <c r="J3" i="16"/>
  <c r="K3" i="16"/>
  <c r="L3" i="16"/>
  <c r="M3" i="16"/>
  <c r="N3" i="16"/>
  <c r="P3" i="16"/>
  <c r="Q3" i="16"/>
  <c r="R3" i="16"/>
  <c r="S3" i="16"/>
  <c r="T3" i="16"/>
  <c r="U3" i="16"/>
  <c r="V3" i="16"/>
  <c r="W3" i="16"/>
  <c r="X3" i="16"/>
  <c r="Y3" i="16"/>
  <c r="Z3" i="16"/>
  <c r="D3" i="16"/>
  <c r="AA3" i="16" l="1"/>
  <c r="O21" i="16"/>
  <c r="O12" i="16"/>
  <c r="AA21" i="16"/>
  <c r="AA12" i="16"/>
  <c r="O3" i="16"/>
  <c r="V76" i="8"/>
  <c r="J16" i="11" l="1"/>
  <c r="J15" i="11"/>
  <c r="AA28" i="10" l="1"/>
  <c r="AB28" i="10"/>
  <c r="AC28" i="10"/>
  <c r="W28" i="10"/>
  <c r="X28" i="10"/>
  <c r="Y28" i="10"/>
  <c r="Z28" i="10"/>
  <c r="T28" i="10"/>
  <c r="U28" i="10"/>
  <c r="V28" i="10"/>
  <c r="S28" i="10"/>
  <c r="O28" i="10"/>
  <c r="P28" i="10"/>
  <c r="Q28" i="10"/>
  <c r="K28" i="10"/>
  <c r="L28" i="10"/>
  <c r="M28" i="10"/>
  <c r="N28" i="10"/>
  <c r="H28" i="10"/>
  <c r="I28" i="10"/>
  <c r="J28" i="10"/>
  <c r="G28" i="10"/>
  <c r="Q58" i="4"/>
  <c r="R58" i="4"/>
  <c r="P58" i="4"/>
  <c r="O58" i="4"/>
  <c r="M58" i="4"/>
  <c r="N58" i="4"/>
  <c r="L58" i="4"/>
  <c r="K58" i="4"/>
  <c r="I58" i="4"/>
  <c r="J58" i="4"/>
  <c r="H58" i="4"/>
  <c r="AA65" i="4"/>
  <c r="C26" i="16"/>
  <c r="O68" i="4"/>
  <c r="P24" i="4"/>
  <c r="C25" i="16"/>
  <c r="W77" i="3"/>
  <c r="C13" i="16"/>
  <c r="J77" i="4" l="1"/>
  <c r="D56" i="11" s="1"/>
  <c r="R28" i="10"/>
  <c r="Z34" i="3"/>
  <c r="D55" i="11" l="1"/>
  <c r="C14" i="16"/>
  <c r="C23" i="16" l="1"/>
  <c r="C22" i="16"/>
  <c r="C20" i="16"/>
  <c r="C19" i="16"/>
  <c r="C18" i="16"/>
  <c r="C17" i="16"/>
  <c r="C16" i="16"/>
  <c r="C15" i="16"/>
  <c r="H67" i="8"/>
  <c r="AE73" i="8"/>
  <c r="S73" i="8"/>
  <c r="AE72" i="8"/>
  <c r="S72" i="8"/>
  <c r="AE34" i="8"/>
  <c r="S34" i="8"/>
  <c r="AE33" i="8"/>
  <c r="S33" i="8"/>
  <c r="C8" i="16"/>
  <c r="C5" i="16"/>
  <c r="C6" i="16"/>
  <c r="C7" i="16"/>
  <c r="C9" i="16"/>
  <c r="C10" i="16"/>
  <c r="C11" i="16"/>
  <c r="C4" i="16"/>
  <c r="E34" i="8" l="1"/>
  <c r="G34" i="8" s="1"/>
  <c r="E73" i="8"/>
  <c r="G73" i="8" s="1"/>
  <c r="E72" i="8"/>
  <c r="G72" i="8" s="1"/>
  <c r="E33" i="8"/>
  <c r="G33" i="8" s="1"/>
  <c r="H85" i="7" l="1"/>
  <c r="S83" i="1"/>
  <c r="T83" i="1"/>
  <c r="U83" i="1"/>
  <c r="V83" i="1"/>
  <c r="W83" i="1"/>
  <c r="X83" i="1"/>
  <c r="Y83" i="1"/>
  <c r="Z83" i="1"/>
  <c r="AA83" i="1"/>
  <c r="AB83" i="1"/>
  <c r="AC83" i="1"/>
  <c r="P83" i="1"/>
  <c r="Q83" i="1"/>
  <c r="N83" i="1"/>
  <c r="O83" i="1"/>
  <c r="AE116" i="7"/>
  <c r="AE117" i="7"/>
  <c r="S116" i="7"/>
  <c r="S117" i="7"/>
  <c r="AD82" i="1"/>
  <c r="E80" i="1"/>
  <c r="I87" i="7"/>
  <c r="I88" i="7"/>
  <c r="H83" i="1"/>
  <c r="I83" i="1"/>
  <c r="J83" i="1"/>
  <c r="K83" i="1"/>
  <c r="L83" i="1"/>
  <c r="M83" i="1"/>
  <c r="G83" i="1"/>
  <c r="Q82" i="1"/>
  <c r="M82" i="1"/>
  <c r="N82" i="1"/>
  <c r="O82" i="1"/>
  <c r="P82" i="1"/>
  <c r="H82" i="1"/>
  <c r="I82" i="1"/>
  <c r="J82" i="1"/>
  <c r="K82" i="1"/>
  <c r="L82" i="1"/>
  <c r="G82" i="1"/>
  <c r="Q27" i="1"/>
  <c r="M27" i="1"/>
  <c r="N27" i="1"/>
  <c r="O27" i="1"/>
  <c r="P27" i="1"/>
  <c r="K27" i="1"/>
  <c r="L27" i="1"/>
  <c r="H27" i="1"/>
  <c r="I27" i="1"/>
  <c r="J27" i="1"/>
  <c r="G27" i="1"/>
  <c r="H31" i="1"/>
  <c r="I31" i="1"/>
  <c r="J31" i="1"/>
  <c r="K31" i="1"/>
  <c r="L31" i="1"/>
  <c r="M31" i="1"/>
  <c r="N31" i="1"/>
  <c r="O31" i="1"/>
  <c r="P31" i="1"/>
  <c r="Q31" i="1"/>
  <c r="G31" i="1"/>
  <c r="E13" i="1"/>
  <c r="F33" i="7"/>
  <c r="T33" i="7"/>
  <c r="U33" i="7"/>
  <c r="V33" i="7"/>
  <c r="W33" i="7"/>
  <c r="X33" i="7"/>
  <c r="Y33" i="7"/>
  <c r="Z33" i="7"/>
  <c r="AA33" i="7"/>
  <c r="AB33" i="7"/>
  <c r="AC33" i="7"/>
  <c r="AD33" i="7"/>
  <c r="I33" i="7"/>
  <c r="J33" i="7"/>
  <c r="K33" i="7"/>
  <c r="L33" i="7"/>
  <c r="M33" i="7"/>
  <c r="N33" i="7"/>
  <c r="O33" i="7"/>
  <c r="P33" i="7"/>
  <c r="Q33" i="7"/>
  <c r="R33" i="7"/>
  <c r="H33" i="7"/>
  <c r="U35" i="7"/>
  <c r="V35" i="7"/>
  <c r="W35" i="7"/>
  <c r="X35" i="7"/>
  <c r="Y35" i="7"/>
  <c r="Z35" i="7"/>
  <c r="AA35" i="7"/>
  <c r="AB35" i="7"/>
  <c r="AC35" i="7"/>
  <c r="AD35" i="7"/>
  <c r="T35" i="7"/>
  <c r="I35" i="7"/>
  <c r="J35" i="7"/>
  <c r="K35" i="7"/>
  <c r="L35" i="7"/>
  <c r="M35" i="7"/>
  <c r="N35" i="7"/>
  <c r="O35" i="7"/>
  <c r="P35" i="7"/>
  <c r="Q35" i="7"/>
  <c r="R35" i="7"/>
  <c r="H35" i="7"/>
  <c r="AE34" i="7"/>
  <c r="AE33" i="7" s="1"/>
  <c r="S34" i="7"/>
  <c r="J48" i="20" l="1"/>
  <c r="J31" i="21"/>
  <c r="X16" i="1"/>
  <c r="X31" i="21"/>
  <c r="X28" i="21" s="1"/>
  <c r="X27" i="21" s="1"/>
  <c r="X26" i="21" s="1"/>
  <c r="X24" i="21" s="1"/>
  <c r="X48" i="20"/>
  <c r="X45" i="20" s="1"/>
  <c r="X44" i="20" s="1"/>
  <c r="X43" i="20" s="1"/>
  <c r="X41" i="20" s="1"/>
  <c r="Q16" i="1"/>
  <c r="Q31" i="21"/>
  <c r="Q48" i="20"/>
  <c r="M16" i="1"/>
  <c r="M31" i="21"/>
  <c r="M48" i="20"/>
  <c r="I16" i="1"/>
  <c r="I31" i="21"/>
  <c r="I48" i="20"/>
  <c r="AA16" i="1"/>
  <c r="AA31" i="21"/>
  <c r="AA28" i="21" s="1"/>
  <c r="AA27" i="21" s="1"/>
  <c r="AA26" i="21" s="1"/>
  <c r="AA24" i="21" s="1"/>
  <c r="AA48" i="20"/>
  <c r="AA45" i="20" s="1"/>
  <c r="AA44" i="20" s="1"/>
  <c r="AA43" i="20" s="1"/>
  <c r="AA41" i="20" s="1"/>
  <c r="W31" i="21"/>
  <c r="W28" i="21" s="1"/>
  <c r="W27" i="21" s="1"/>
  <c r="W26" i="21" s="1"/>
  <c r="W24" i="21" s="1"/>
  <c r="W48" i="20"/>
  <c r="W45" i="20" s="1"/>
  <c r="W44" i="20" s="1"/>
  <c r="W43" i="20" s="1"/>
  <c r="W41" i="20" s="1"/>
  <c r="S16" i="1"/>
  <c r="S31" i="21"/>
  <c r="S48" i="20"/>
  <c r="H190" i="20"/>
  <c r="H173" i="21"/>
  <c r="N16" i="1"/>
  <c r="N48" i="20"/>
  <c r="N31" i="21"/>
  <c r="T16" i="1"/>
  <c r="T31" i="21"/>
  <c r="T28" i="21" s="1"/>
  <c r="T27" i="21" s="1"/>
  <c r="T26" i="21" s="1"/>
  <c r="T24" i="21" s="1"/>
  <c r="T48" i="20"/>
  <c r="T45" i="20" s="1"/>
  <c r="T44" i="20" s="1"/>
  <c r="T43" i="20" s="1"/>
  <c r="T41" i="20" s="1"/>
  <c r="P16" i="1"/>
  <c r="P48" i="20"/>
  <c r="P31" i="21"/>
  <c r="L16" i="1"/>
  <c r="L48" i="20"/>
  <c r="L31" i="21"/>
  <c r="H16" i="1"/>
  <c r="H48" i="20"/>
  <c r="H31" i="21"/>
  <c r="Z16" i="1"/>
  <c r="Z31" i="21"/>
  <c r="Z28" i="21" s="1"/>
  <c r="Z27" i="21" s="1"/>
  <c r="Z26" i="21" s="1"/>
  <c r="Z24" i="21" s="1"/>
  <c r="Z48" i="20"/>
  <c r="Z45" i="20" s="1"/>
  <c r="Z44" i="20" s="1"/>
  <c r="Z43" i="20" s="1"/>
  <c r="Z41" i="20" s="1"/>
  <c r="V16" i="1"/>
  <c r="V31" i="21"/>
  <c r="V28" i="21" s="1"/>
  <c r="V27" i="21" s="1"/>
  <c r="V26" i="21" s="1"/>
  <c r="V24" i="21" s="1"/>
  <c r="V48" i="20"/>
  <c r="V45" i="20" s="1"/>
  <c r="V44" i="20" s="1"/>
  <c r="V43" i="20" s="1"/>
  <c r="V41" i="20" s="1"/>
  <c r="G16" i="1"/>
  <c r="G31" i="21"/>
  <c r="G48" i="20"/>
  <c r="AB16" i="1"/>
  <c r="AB31" i="21"/>
  <c r="AB28" i="21" s="1"/>
  <c r="AB27" i="21" s="1"/>
  <c r="AB26" i="21" s="1"/>
  <c r="AB24" i="21" s="1"/>
  <c r="AB48" i="20"/>
  <c r="AB45" i="20" s="1"/>
  <c r="AB44" i="20" s="1"/>
  <c r="AB43" i="20" s="1"/>
  <c r="AB41" i="20" s="1"/>
  <c r="H174" i="21"/>
  <c r="R174" i="21" s="1"/>
  <c r="D174" i="21" s="1"/>
  <c r="F174" i="21" s="1"/>
  <c r="H191" i="20"/>
  <c r="R191" i="20" s="1"/>
  <c r="O16" i="1"/>
  <c r="O31" i="21"/>
  <c r="O48" i="20"/>
  <c r="K31" i="21"/>
  <c r="K48" i="20"/>
  <c r="AC16" i="1"/>
  <c r="AC31" i="21"/>
  <c r="AC28" i="21" s="1"/>
  <c r="AC27" i="21" s="1"/>
  <c r="AC26" i="21" s="1"/>
  <c r="AC24" i="21" s="1"/>
  <c r="AC48" i="20"/>
  <c r="AC45" i="20" s="1"/>
  <c r="AC44" i="20" s="1"/>
  <c r="AC43" i="20" s="1"/>
  <c r="AC41" i="20" s="1"/>
  <c r="Y16" i="1"/>
  <c r="Y31" i="21"/>
  <c r="Y28" i="21" s="1"/>
  <c r="Y27" i="21" s="1"/>
  <c r="Y26" i="21" s="1"/>
  <c r="Y24" i="21" s="1"/>
  <c r="Y48" i="20"/>
  <c r="Y45" i="20" s="1"/>
  <c r="Y44" i="20" s="1"/>
  <c r="Y43" i="20" s="1"/>
  <c r="Y41" i="20" s="1"/>
  <c r="U16" i="1"/>
  <c r="U31" i="21"/>
  <c r="U28" i="21" s="1"/>
  <c r="U27" i="21" s="1"/>
  <c r="U26" i="21" s="1"/>
  <c r="U24" i="21" s="1"/>
  <c r="U48" i="20"/>
  <c r="U45" i="20" s="1"/>
  <c r="U44" i="20" s="1"/>
  <c r="U43" i="20" s="1"/>
  <c r="U41" i="20" s="1"/>
  <c r="K16" i="1"/>
  <c r="R16" i="1" s="1"/>
  <c r="J16" i="1"/>
  <c r="E34" i="7"/>
  <c r="G34" i="7" s="1"/>
  <c r="G33" i="7" s="1"/>
  <c r="R83" i="1"/>
  <c r="R82" i="1"/>
  <c r="AD83" i="1"/>
  <c r="S33" i="7"/>
  <c r="W16" i="1"/>
  <c r="AD16" i="1" s="1"/>
  <c r="R27" i="1"/>
  <c r="M29" i="7"/>
  <c r="M19" i="7"/>
  <c r="M13" i="7" s="1"/>
  <c r="R48" i="20" l="1"/>
  <c r="H171" i="21"/>
  <c r="R173" i="21"/>
  <c r="L29" i="21"/>
  <c r="L46" i="20"/>
  <c r="R31" i="21"/>
  <c r="H188" i="20"/>
  <c r="R190" i="20"/>
  <c r="R188" i="20" s="1"/>
  <c r="S45" i="20"/>
  <c r="S44" i="20" s="1"/>
  <c r="S43" i="20" s="1"/>
  <c r="S41" i="20" s="1"/>
  <c r="AD48" i="20"/>
  <c r="AD45" i="20" s="1"/>
  <c r="AD44" i="20" s="1"/>
  <c r="AD43" i="20" s="1"/>
  <c r="AD41" i="20" s="1"/>
  <c r="S28" i="21"/>
  <c r="S27" i="21" s="1"/>
  <c r="S26" i="21" s="1"/>
  <c r="S24" i="21" s="1"/>
  <c r="AD31" i="21"/>
  <c r="AD28" i="21" s="1"/>
  <c r="AD27" i="21" s="1"/>
  <c r="AD26" i="21" s="1"/>
  <c r="AD24" i="21" s="1"/>
  <c r="E33" i="7"/>
  <c r="W95" i="3"/>
  <c r="V35" i="9" s="1"/>
  <c r="AE87" i="3"/>
  <c r="S87" i="3"/>
  <c r="F95" i="3"/>
  <c r="H95" i="3"/>
  <c r="G35" i="9" s="1"/>
  <c r="I95" i="3"/>
  <c r="H35" i="9" s="1"/>
  <c r="J95" i="3"/>
  <c r="I35" i="9" s="1"/>
  <c r="K95" i="3"/>
  <c r="J35" i="9" s="1"/>
  <c r="L95" i="3"/>
  <c r="K35" i="9" s="1"/>
  <c r="M95" i="3"/>
  <c r="L35" i="9" s="1"/>
  <c r="N95" i="3"/>
  <c r="M35" i="9" s="1"/>
  <c r="O95" i="3"/>
  <c r="N35" i="9" s="1"/>
  <c r="P95" i="3"/>
  <c r="O35" i="9" s="1"/>
  <c r="Q95" i="3"/>
  <c r="P35" i="9" s="1"/>
  <c r="R95" i="3"/>
  <c r="Q35" i="9" s="1"/>
  <c r="T95" i="3"/>
  <c r="S35" i="9" s="1"/>
  <c r="U95" i="3"/>
  <c r="T35" i="9" s="1"/>
  <c r="V95" i="3"/>
  <c r="U35" i="9" s="1"/>
  <c r="X95" i="3"/>
  <c r="W35" i="9" s="1"/>
  <c r="Y95" i="3"/>
  <c r="X35" i="9" s="1"/>
  <c r="Z95" i="3"/>
  <c r="Y35" i="9" s="1"/>
  <c r="AA95" i="3"/>
  <c r="Z35" i="9" s="1"/>
  <c r="AB95" i="3"/>
  <c r="AC95" i="3"/>
  <c r="AB35" i="9" s="1"/>
  <c r="AD95" i="3"/>
  <c r="AC35" i="9" s="1"/>
  <c r="S96" i="3"/>
  <c r="AE96" i="3"/>
  <c r="S97" i="3"/>
  <c r="AE97" i="3"/>
  <c r="S98" i="3"/>
  <c r="AE98" i="3"/>
  <c r="S99" i="3"/>
  <c r="AE99" i="3"/>
  <c r="D173" i="21" l="1"/>
  <c r="R171" i="21"/>
  <c r="D31" i="21"/>
  <c r="F31" i="21" s="1"/>
  <c r="D48" i="20"/>
  <c r="F48" i="20" s="1"/>
  <c r="AA35" i="9"/>
  <c r="F87" i="3"/>
  <c r="G87" i="3" s="1"/>
  <c r="E96" i="3"/>
  <c r="G96" i="3" s="1"/>
  <c r="R35" i="9"/>
  <c r="AD35" i="9"/>
  <c r="E99" i="3"/>
  <c r="G99" i="3" s="1"/>
  <c r="E97" i="3"/>
  <c r="G97" i="3" s="1"/>
  <c r="AE95" i="3"/>
  <c r="E98" i="3"/>
  <c r="G98" i="3" s="1"/>
  <c r="S95" i="3"/>
  <c r="F173" i="21" l="1"/>
  <c r="D171" i="21"/>
  <c r="F171" i="21" s="1"/>
  <c r="D35" i="9"/>
  <c r="F35" i="9" s="1"/>
  <c r="E95" i="3"/>
  <c r="G95" i="3"/>
  <c r="J56" i="3" l="1"/>
  <c r="AE13" i="8" l="1"/>
  <c r="S13" i="8"/>
  <c r="L14" i="1"/>
  <c r="M14" i="1"/>
  <c r="K14" i="1"/>
  <c r="V85" i="7"/>
  <c r="W85" i="7"/>
  <c r="X85" i="7"/>
  <c r="Y85" i="7"/>
  <c r="Z85" i="7"/>
  <c r="AA85" i="7"/>
  <c r="AB85" i="7"/>
  <c r="AC85" i="7"/>
  <c r="AD85" i="7"/>
  <c r="U85" i="7"/>
  <c r="T85" i="7"/>
  <c r="V95" i="7"/>
  <c r="X73" i="7"/>
  <c r="R32" i="7"/>
  <c r="R31" i="7"/>
  <c r="R30" i="7"/>
  <c r="R29" i="7"/>
  <c r="R28" i="7"/>
  <c r="R22" i="7"/>
  <c r="R21" i="7"/>
  <c r="R20" i="7"/>
  <c r="R19" i="7"/>
  <c r="R18" i="7"/>
  <c r="R13" i="7" s="1"/>
  <c r="J18" i="7"/>
  <c r="J19" i="7"/>
  <c r="J21" i="7"/>
  <c r="J32" i="7"/>
  <c r="J31" i="7"/>
  <c r="J29" i="7"/>
  <c r="J28" i="7"/>
  <c r="J30" i="7"/>
  <c r="J20" i="7"/>
  <c r="Q29" i="21" l="1"/>
  <c r="Q46" i="20"/>
  <c r="W168" i="21"/>
  <c r="W185" i="20"/>
  <c r="J13" i="7"/>
  <c r="Q14" i="1"/>
  <c r="J14" i="1"/>
  <c r="P14" i="1"/>
  <c r="H14" i="1"/>
  <c r="O14" i="1"/>
  <c r="N14" i="1"/>
  <c r="E13" i="8"/>
  <c r="G13" i="8" s="1"/>
  <c r="R23" i="7"/>
  <c r="Q47" i="20" l="1"/>
  <c r="Q45" i="20" s="1"/>
  <c r="Q44" i="20" s="1"/>
  <c r="Q43" i="20" s="1"/>
  <c r="Q41" i="20" s="1"/>
  <c r="Q30" i="21"/>
  <c r="Q28" i="21" s="1"/>
  <c r="Q27" i="21" s="1"/>
  <c r="Q26" i="21" s="1"/>
  <c r="Q24" i="21" s="1"/>
  <c r="I29" i="21"/>
  <c r="I46" i="20"/>
  <c r="Q15" i="1"/>
  <c r="Q13" i="1" s="1"/>
  <c r="R12" i="7"/>
  <c r="I14" i="1"/>
  <c r="I72" i="7"/>
  <c r="R29" i="21" l="1"/>
  <c r="R46" i="20"/>
  <c r="AC76" i="1"/>
  <c r="Z76" i="1"/>
  <c r="AA76" i="1"/>
  <c r="AB76" i="1"/>
  <c r="W76" i="1"/>
  <c r="X76" i="1"/>
  <c r="Y76" i="1"/>
  <c r="T76" i="1"/>
  <c r="U76" i="1"/>
  <c r="V76" i="1"/>
  <c r="S76" i="1"/>
  <c r="P76" i="1"/>
  <c r="Q76" i="1"/>
  <c r="L76" i="1"/>
  <c r="M76" i="1"/>
  <c r="N76" i="1"/>
  <c r="O76" i="1"/>
  <c r="H76" i="1"/>
  <c r="I76" i="1"/>
  <c r="J76" i="1"/>
  <c r="K76" i="1"/>
  <c r="G76" i="1"/>
  <c r="E74" i="1"/>
  <c r="K108" i="7"/>
  <c r="H108" i="7"/>
  <c r="F108" i="7"/>
  <c r="AB108" i="7"/>
  <c r="AC108" i="7"/>
  <c r="AD108" i="7"/>
  <c r="X108" i="7"/>
  <c r="Y108" i="7"/>
  <c r="Z108" i="7"/>
  <c r="AA108" i="7"/>
  <c r="U108" i="7"/>
  <c r="V108" i="7"/>
  <c r="W108" i="7"/>
  <c r="T108" i="7"/>
  <c r="P108" i="7"/>
  <c r="Q108" i="7"/>
  <c r="R108" i="7"/>
  <c r="L108" i="7"/>
  <c r="M108" i="7"/>
  <c r="N108" i="7"/>
  <c r="O108" i="7"/>
  <c r="I108" i="7"/>
  <c r="J108" i="7"/>
  <c r="N21" i="11"/>
  <c r="D29" i="21" l="1"/>
  <c r="D46" i="20"/>
  <c r="R76" i="1"/>
  <c r="H72" i="1"/>
  <c r="I72" i="1"/>
  <c r="J72" i="1"/>
  <c r="K72" i="1"/>
  <c r="L72" i="1"/>
  <c r="H63" i="1"/>
  <c r="I63" i="1"/>
  <c r="J63" i="1"/>
  <c r="K63" i="1"/>
  <c r="H62" i="1"/>
  <c r="I62" i="1"/>
  <c r="J62" i="1"/>
  <c r="K62" i="1"/>
  <c r="L62" i="1"/>
  <c r="H60" i="1"/>
  <c r="I60" i="1"/>
  <c r="J60" i="1"/>
  <c r="K60" i="1"/>
  <c r="L60" i="1"/>
  <c r="M60" i="1"/>
  <c r="N60" i="1"/>
  <c r="H59" i="1"/>
  <c r="I59" i="1"/>
  <c r="J59" i="1"/>
  <c r="K59" i="1"/>
  <c r="L59" i="1"/>
  <c r="M59" i="1"/>
  <c r="N59" i="1"/>
  <c r="H57" i="1"/>
  <c r="I57" i="1"/>
  <c r="J57" i="1"/>
  <c r="K57" i="1"/>
  <c r="L57" i="1"/>
  <c r="M57" i="1"/>
  <c r="H56" i="1"/>
  <c r="I56" i="1"/>
  <c r="J56" i="1"/>
  <c r="K56" i="1"/>
  <c r="L56" i="1"/>
  <c r="U17" i="15"/>
  <c r="N16" i="15"/>
  <c r="N15" i="15"/>
  <c r="N14" i="15"/>
  <c r="N13" i="15"/>
  <c r="N12" i="15"/>
  <c r="N11" i="15"/>
  <c r="N10" i="15"/>
  <c r="F46" i="20" l="1"/>
  <c r="F29" i="21"/>
  <c r="S11" i="14" l="1"/>
  <c r="S16" i="14" s="1"/>
  <c r="T9" i="14"/>
  <c r="T11" i="14" s="1"/>
  <c r="D73" i="13"/>
  <c r="D57" i="13"/>
  <c r="G57" i="13"/>
  <c r="F57" i="13"/>
  <c r="D38" i="13"/>
  <c r="G38" i="13"/>
  <c r="F38" i="13"/>
  <c r="G33" i="13"/>
  <c r="F33" i="13"/>
  <c r="F25" i="13"/>
  <c r="D25" i="13"/>
  <c r="G25" i="13"/>
  <c r="G16" i="13"/>
  <c r="F16" i="13"/>
  <c r="G9" i="13"/>
  <c r="F9" i="13"/>
  <c r="D9" i="13"/>
  <c r="G133" i="13" l="1"/>
  <c r="D95" i="13"/>
  <c r="G23" i="13"/>
  <c r="G24" i="13"/>
  <c r="G31" i="13"/>
  <c r="G32" i="13"/>
  <c r="G47" i="13"/>
  <c r="D133" i="13" l="1"/>
  <c r="G107" i="13"/>
  <c r="G126" i="13"/>
  <c r="G100" i="13"/>
  <c r="G90" i="13"/>
  <c r="G43" i="13"/>
  <c r="D33" i="13"/>
  <c r="F133" i="13" l="1"/>
  <c r="D107" i="13"/>
  <c r="D126" i="13"/>
  <c r="F126" i="13"/>
  <c r="G136" i="13"/>
  <c r="G140" i="13"/>
  <c r="D90" i="13"/>
  <c r="G88" i="13"/>
  <c r="D100" i="13"/>
  <c r="G73" i="13"/>
  <c r="G95" i="13"/>
  <c r="G51" i="13"/>
  <c r="G48" i="13"/>
  <c r="D16" i="13"/>
  <c r="F60" i="7"/>
  <c r="U60" i="7"/>
  <c r="V60" i="7"/>
  <c r="W60" i="7"/>
  <c r="X60" i="7"/>
  <c r="Y60" i="7"/>
  <c r="Z60" i="7"/>
  <c r="AA60" i="7"/>
  <c r="AB60" i="7"/>
  <c r="AC60" i="7"/>
  <c r="AD60" i="7"/>
  <c r="T60" i="7"/>
  <c r="H60" i="7"/>
  <c r="H59" i="7" s="1"/>
  <c r="S61" i="7"/>
  <c r="I60" i="7"/>
  <c r="J60" i="7"/>
  <c r="K60" i="7"/>
  <c r="L60" i="7"/>
  <c r="M60" i="7"/>
  <c r="N60" i="7"/>
  <c r="O60" i="7"/>
  <c r="P60" i="7"/>
  <c r="Q60" i="7"/>
  <c r="R60" i="7"/>
  <c r="F95" i="13" l="1"/>
  <c r="F107" i="13"/>
  <c r="F140" i="13"/>
  <c r="D140" i="13"/>
  <c r="F136" i="13"/>
  <c r="D136" i="13"/>
  <c r="F100" i="13"/>
  <c r="F88" i="13"/>
  <c r="D88" i="13"/>
  <c r="F90" i="13"/>
  <c r="F73" i="13"/>
  <c r="F51" i="13"/>
  <c r="D51" i="13"/>
  <c r="F43" i="13"/>
  <c r="D43" i="13"/>
  <c r="D48" i="13"/>
  <c r="AD81" i="1"/>
  <c r="AD31" i="1"/>
  <c r="AD30" i="1"/>
  <c r="AD29" i="1"/>
  <c r="AD28" i="1"/>
  <c r="AD27" i="1"/>
  <c r="AD26" i="1"/>
  <c r="AD25" i="1"/>
  <c r="AD24" i="1"/>
  <c r="AD23" i="1"/>
  <c r="AD22" i="1"/>
  <c r="AD21" i="1"/>
  <c r="AD20" i="1"/>
  <c r="AD19" i="1"/>
  <c r="AD18" i="1"/>
  <c r="R81" i="1"/>
  <c r="R31" i="1"/>
  <c r="R30" i="1"/>
  <c r="R29" i="1"/>
  <c r="R28" i="1"/>
  <c r="R26" i="1"/>
  <c r="R25" i="1"/>
  <c r="R24" i="1"/>
  <c r="R23" i="1"/>
  <c r="R22" i="1"/>
  <c r="R21" i="1"/>
  <c r="R20" i="1"/>
  <c r="R19" i="1"/>
  <c r="R18" i="1"/>
  <c r="AE75" i="1"/>
  <c r="AE76" i="1"/>
  <c r="J75" i="1"/>
  <c r="J74" i="1" s="1"/>
  <c r="K75" i="1"/>
  <c r="K74" i="1" s="1"/>
  <c r="L75" i="1"/>
  <c r="L74" i="1" s="1"/>
  <c r="M75" i="1"/>
  <c r="M74" i="1" s="1"/>
  <c r="N75" i="1"/>
  <c r="N74" i="1" s="1"/>
  <c r="O75" i="1"/>
  <c r="O74" i="1" s="1"/>
  <c r="P75" i="1"/>
  <c r="P74" i="1" s="1"/>
  <c r="Q75" i="1"/>
  <c r="Q74" i="1" s="1"/>
  <c r="S75" i="1"/>
  <c r="S74" i="1" s="1"/>
  <c r="T75" i="1"/>
  <c r="T74" i="1" s="1"/>
  <c r="U75" i="1"/>
  <c r="U74" i="1" s="1"/>
  <c r="V75" i="1"/>
  <c r="V74" i="1" s="1"/>
  <c r="W75" i="1"/>
  <c r="W74" i="1" s="1"/>
  <c r="X75" i="1"/>
  <c r="X74" i="1" s="1"/>
  <c r="Y75" i="1"/>
  <c r="Y74" i="1" s="1"/>
  <c r="Z75" i="1"/>
  <c r="Z74" i="1" s="1"/>
  <c r="AA75" i="1"/>
  <c r="AA74" i="1" s="1"/>
  <c r="AB75" i="1"/>
  <c r="AB74" i="1" s="1"/>
  <c r="AC75" i="1"/>
  <c r="AC74" i="1" s="1"/>
  <c r="H75" i="1"/>
  <c r="H74" i="1" s="1"/>
  <c r="I75" i="1"/>
  <c r="I74" i="1" s="1"/>
  <c r="G75" i="1"/>
  <c r="G74" i="1" s="1"/>
  <c r="H70" i="1"/>
  <c r="I70" i="1"/>
  <c r="J70" i="1"/>
  <c r="K70" i="1"/>
  <c r="L70" i="1"/>
  <c r="M70" i="1"/>
  <c r="N70" i="1"/>
  <c r="O70" i="1"/>
  <c r="P70" i="1"/>
  <c r="Q70" i="1"/>
  <c r="S70" i="1"/>
  <c r="T70" i="1"/>
  <c r="U70" i="1"/>
  <c r="V70" i="1"/>
  <c r="W70" i="1"/>
  <c r="X70" i="1"/>
  <c r="Y70" i="1"/>
  <c r="Z70" i="1"/>
  <c r="AA70" i="1"/>
  <c r="AB70" i="1"/>
  <c r="AC70" i="1"/>
  <c r="H71" i="1"/>
  <c r="I71" i="1"/>
  <c r="J71" i="1"/>
  <c r="K71" i="1"/>
  <c r="L71" i="1"/>
  <c r="M71" i="1"/>
  <c r="N71" i="1"/>
  <c r="O71" i="1"/>
  <c r="P71" i="1"/>
  <c r="Q71" i="1"/>
  <c r="S71" i="1"/>
  <c r="T71" i="1"/>
  <c r="U71" i="1"/>
  <c r="V71" i="1"/>
  <c r="W71" i="1"/>
  <c r="X71" i="1"/>
  <c r="Y71" i="1"/>
  <c r="Z71" i="1"/>
  <c r="AA71" i="1"/>
  <c r="AB71" i="1"/>
  <c r="AC71" i="1"/>
  <c r="M72" i="1"/>
  <c r="N72" i="1"/>
  <c r="O72" i="1"/>
  <c r="P72" i="1"/>
  <c r="Q72" i="1"/>
  <c r="S72" i="1"/>
  <c r="T72" i="1"/>
  <c r="U72" i="1"/>
  <c r="V72" i="1"/>
  <c r="W72" i="1"/>
  <c r="X72" i="1"/>
  <c r="Y72" i="1"/>
  <c r="Z72" i="1"/>
  <c r="AA72" i="1"/>
  <c r="AB72" i="1"/>
  <c r="AC72" i="1"/>
  <c r="H73" i="1"/>
  <c r="I73" i="1"/>
  <c r="J73" i="1"/>
  <c r="K73" i="1"/>
  <c r="L73" i="1"/>
  <c r="M73" i="1"/>
  <c r="N73" i="1"/>
  <c r="O73" i="1"/>
  <c r="P73" i="1"/>
  <c r="Q73" i="1"/>
  <c r="S73" i="1"/>
  <c r="T73" i="1"/>
  <c r="U73" i="1"/>
  <c r="V73" i="1"/>
  <c r="W73" i="1"/>
  <c r="X73" i="1"/>
  <c r="Y73" i="1"/>
  <c r="Z73" i="1"/>
  <c r="AA73" i="1"/>
  <c r="AB73" i="1"/>
  <c r="AC73" i="1"/>
  <c r="G71" i="1"/>
  <c r="G72" i="1"/>
  <c r="G73" i="1"/>
  <c r="G70" i="1"/>
  <c r="H34" i="1"/>
  <c r="I34" i="1"/>
  <c r="J34" i="1"/>
  <c r="K34" i="1"/>
  <c r="L34" i="1"/>
  <c r="M34" i="1"/>
  <c r="N34" i="1"/>
  <c r="O34" i="1"/>
  <c r="P34" i="1"/>
  <c r="Q34" i="1"/>
  <c r="S34" i="1"/>
  <c r="T34" i="1"/>
  <c r="U34" i="1"/>
  <c r="V34" i="1"/>
  <c r="W34" i="1"/>
  <c r="X34" i="1"/>
  <c r="Y34" i="1"/>
  <c r="Z34" i="1"/>
  <c r="AA34" i="1"/>
  <c r="AB34" i="1"/>
  <c r="AC34" i="1"/>
  <c r="H35" i="1"/>
  <c r="I35" i="1"/>
  <c r="J35" i="1"/>
  <c r="K35" i="1"/>
  <c r="L35" i="1"/>
  <c r="M35" i="1"/>
  <c r="N35" i="1"/>
  <c r="O35" i="1"/>
  <c r="P35" i="1"/>
  <c r="Q35" i="1"/>
  <c r="S35" i="1"/>
  <c r="T35" i="1"/>
  <c r="U35" i="1"/>
  <c r="V35" i="1"/>
  <c r="W35" i="1"/>
  <c r="X35" i="1"/>
  <c r="Y35" i="1"/>
  <c r="Z35" i="1"/>
  <c r="AA35" i="1"/>
  <c r="AB35" i="1"/>
  <c r="AC35" i="1"/>
  <c r="H36" i="1"/>
  <c r="I36" i="1"/>
  <c r="J36" i="1"/>
  <c r="K36" i="1"/>
  <c r="L36" i="1"/>
  <c r="M36" i="1"/>
  <c r="N36" i="1"/>
  <c r="O36" i="1"/>
  <c r="P36" i="1"/>
  <c r="Q36" i="1"/>
  <c r="S36" i="1"/>
  <c r="T36" i="1"/>
  <c r="U36" i="1"/>
  <c r="V36" i="1"/>
  <c r="W36" i="1"/>
  <c r="X36" i="1"/>
  <c r="Y36" i="1"/>
  <c r="Z36" i="1"/>
  <c r="AA36" i="1"/>
  <c r="AB36" i="1"/>
  <c r="AC36" i="1"/>
  <c r="H37" i="1"/>
  <c r="I37" i="1"/>
  <c r="J37" i="1"/>
  <c r="K37" i="1"/>
  <c r="L37" i="1"/>
  <c r="M37" i="1"/>
  <c r="N37" i="1"/>
  <c r="O37" i="1"/>
  <c r="P37" i="1"/>
  <c r="Q37" i="1"/>
  <c r="S37" i="1"/>
  <c r="T37" i="1"/>
  <c r="U37" i="1"/>
  <c r="V37" i="1"/>
  <c r="W37" i="1"/>
  <c r="X37" i="1"/>
  <c r="Y37" i="1"/>
  <c r="Z37" i="1"/>
  <c r="AA37" i="1"/>
  <c r="AB37" i="1"/>
  <c r="AC37" i="1"/>
  <c r="G35" i="1"/>
  <c r="G36" i="1"/>
  <c r="G37" i="1"/>
  <c r="G34" i="1"/>
  <c r="S59" i="1"/>
  <c r="T59" i="1"/>
  <c r="U59" i="1"/>
  <c r="V59" i="1"/>
  <c r="W59" i="1"/>
  <c r="X59" i="1"/>
  <c r="Y59" i="1"/>
  <c r="Z59" i="1"/>
  <c r="AA59" i="1"/>
  <c r="AB59" i="1"/>
  <c r="AC59" i="1"/>
  <c r="S60" i="1"/>
  <c r="T60" i="1"/>
  <c r="U60" i="1"/>
  <c r="V60" i="1"/>
  <c r="W60" i="1"/>
  <c r="X60" i="1"/>
  <c r="Y60" i="1"/>
  <c r="Z60" i="1"/>
  <c r="AA60" i="1"/>
  <c r="AB60" i="1"/>
  <c r="AC60" i="1"/>
  <c r="O59" i="1"/>
  <c r="P59" i="1"/>
  <c r="Q59" i="1"/>
  <c r="O60" i="1"/>
  <c r="P60" i="1"/>
  <c r="Q60" i="1"/>
  <c r="G60" i="1"/>
  <c r="G59" i="1"/>
  <c r="M62" i="1"/>
  <c r="N62" i="1"/>
  <c r="O62" i="1"/>
  <c r="P62" i="1"/>
  <c r="Q62" i="1"/>
  <c r="S62" i="1"/>
  <c r="T62" i="1"/>
  <c r="U62" i="1"/>
  <c r="V62" i="1"/>
  <c r="W62" i="1"/>
  <c r="X62" i="1"/>
  <c r="Y62" i="1"/>
  <c r="Z62" i="1"/>
  <c r="AA62" i="1"/>
  <c r="AB62" i="1"/>
  <c r="AC62" i="1"/>
  <c r="L63" i="1"/>
  <c r="M63" i="1"/>
  <c r="N63" i="1"/>
  <c r="O63" i="1"/>
  <c r="P63" i="1"/>
  <c r="Q63" i="1"/>
  <c r="S63" i="1"/>
  <c r="T63" i="1"/>
  <c r="U63" i="1"/>
  <c r="V63" i="1"/>
  <c r="W63" i="1"/>
  <c r="X63" i="1"/>
  <c r="Y63" i="1"/>
  <c r="Z63" i="1"/>
  <c r="AA63" i="1"/>
  <c r="AB63" i="1"/>
  <c r="AC63" i="1"/>
  <c r="H64" i="1"/>
  <c r="I64" i="1"/>
  <c r="J64" i="1"/>
  <c r="K64" i="1"/>
  <c r="L64" i="1"/>
  <c r="M64" i="1"/>
  <c r="N64" i="1"/>
  <c r="O64" i="1"/>
  <c r="P64" i="1"/>
  <c r="Q64" i="1"/>
  <c r="S64" i="1"/>
  <c r="T64" i="1"/>
  <c r="U64" i="1"/>
  <c r="V64" i="1"/>
  <c r="W64" i="1"/>
  <c r="X64" i="1"/>
  <c r="Y64" i="1"/>
  <c r="Z64" i="1"/>
  <c r="AA64" i="1"/>
  <c r="AB64" i="1"/>
  <c r="AC64" i="1"/>
  <c r="H65" i="1"/>
  <c r="I65" i="1"/>
  <c r="J65" i="1"/>
  <c r="K65" i="1"/>
  <c r="L65" i="1"/>
  <c r="M65" i="1"/>
  <c r="N65" i="1"/>
  <c r="O65" i="1"/>
  <c r="P65" i="1"/>
  <c r="Q65" i="1"/>
  <c r="S65" i="1"/>
  <c r="T65" i="1"/>
  <c r="U65" i="1"/>
  <c r="V65" i="1"/>
  <c r="W65" i="1"/>
  <c r="X65" i="1"/>
  <c r="Y65" i="1"/>
  <c r="Z65" i="1"/>
  <c r="AA65" i="1"/>
  <c r="AB65" i="1"/>
  <c r="AC65" i="1"/>
  <c r="G63" i="1"/>
  <c r="G64" i="1"/>
  <c r="G65" i="1"/>
  <c r="G62" i="1"/>
  <c r="H53" i="1"/>
  <c r="I53" i="1"/>
  <c r="J53" i="1"/>
  <c r="K53" i="1"/>
  <c r="L53" i="1"/>
  <c r="M53" i="1"/>
  <c r="N53" i="1"/>
  <c r="O53" i="1"/>
  <c r="P53" i="1"/>
  <c r="Q53" i="1"/>
  <c r="S53" i="1"/>
  <c r="T53" i="1"/>
  <c r="U53" i="1"/>
  <c r="V53" i="1"/>
  <c r="W53" i="1"/>
  <c r="X53" i="1"/>
  <c r="Y53" i="1"/>
  <c r="Z53" i="1"/>
  <c r="AA53" i="1"/>
  <c r="AB53" i="1"/>
  <c r="AC53" i="1"/>
  <c r="H54" i="1"/>
  <c r="I54" i="1"/>
  <c r="J54" i="1"/>
  <c r="K54" i="1"/>
  <c r="L54" i="1"/>
  <c r="M54" i="1"/>
  <c r="N54" i="1"/>
  <c r="O54" i="1"/>
  <c r="P54" i="1"/>
  <c r="Q54" i="1"/>
  <c r="S54" i="1"/>
  <c r="T54" i="1"/>
  <c r="U54" i="1"/>
  <c r="V54" i="1"/>
  <c r="W54" i="1"/>
  <c r="X54" i="1"/>
  <c r="Y54" i="1"/>
  <c r="Z54" i="1"/>
  <c r="AA54" i="1"/>
  <c r="AB54" i="1"/>
  <c r="AC54" i="1"/>
  <c r="H55" i="1"/>
  <c r="I55" i="1"/>
  <c r="J55" i="1"/>
  <c r="K55" i="1"/>
  <c r="L55" i="1"/>
  <c r="M55" i="1"/>
  <c r="N55" i="1"/>
  <c r="O55" i="1"/>
  <c r="P55" i="1"/>
  <c r="Q55" i="1"/>
  <c r="S55" i="1"/>
  <c r="T55" i="1"/>
  <c r="U55" i="1"/>
  <c r="V55" i="1"/>
  <c r="W55" i="1"/>
  <c r="X55" i="1"/>
  <c r="Y55" i="1"/>
  <c r="Z55" i="1"/>
  <c r="AA55" i="1"/>
  <c r="AB55" i="1"/>
  <c r="AC55" i="1"/>
  <c r="M56" i="1"/>
  <c r="N56" i="1"/>
  <c r="O56" i="1"/>
  <c r="P56" i="1"/>
  <c r="Q56" i="1"/>
  <c r="S56" i="1"/>
  <c r="T56" i="1"/>
  <c r="U56" i="1"/>
  <c r="V56" i="1"/>
  <c r="W56" i="1"/>
  <c r="X56" i="1"/>
  <c r="Y56" i="1"/>
  <c r="Z56" i="1"/>
  <c r="AA56" i="1"/>
  <c r="AB56" i="1"/>
  <c r="AC56" i="1"/>
  <c r="N57" i="1"/>
  <c r="O57" i="1"/>
  <c r="P57" i="1"/>
  <c r="Q57" i="1"/>
  <c r="S57" i="1"/>
  <c r="T57" i="1"/>
  <c r="U57" i="1"/>
  <c r="V57" i="1"/>
  <c r="W57" i="1"/>
  <c r="X57" i="1"/>
  <c r="Y57" i="1"/>
  <c r="Z57" i="1"/>
  <c r="AA57" i="1"/>
  <c r="AB57" i="1"/>
  <c r="AC57" i="1"/>
  <c r="G57" i="1"/>
  <c r="G56" i="1"/>
  <c r="G55" i="1"/>
  <c r="G54" i="1"/>
  <c r="G53" i="1"/>
  <c r="G44" i="1"/>
  <c r="G45" i="1"/>
  <c r="K43" i="1"/>
  <c r="L43" i="1"/>
  <c r="M43" i="1"/>
  <c r="N43" i="1"/>
  <c r="O43" i="1"/>
  <c r="P43" i="1"/>
  <c r="Q43" i="1"/>
  <c r="S43" i="1"/>
  <c r="T43" i="1"/>
  <c r="U43" i="1"/>
  <c r="V43" i="1"/>
  <c r="W43" i="1"/>
  <c r="X43" i="1"/>
  <c r="Y43" i="1"/>
  <c r="Z43" i="1"/>
  <c r="AA43" i="1"/>
  <c r="AB43" i="1"/>
  <c r="AC43" i="1"/>
  <c r="K44" i="1"/>
  <c r="L44" i="1"/>
  <c r="M44" i="1"/>
  <c r="N44" i="1"/>
  <c r="O44" i="1"/>
  <c r="P44" i="1"/>
  <c r="Q44" i="1"/>
  <c r="S44" i="1"/>
  <c r="T44" i="1"/>
  <c r="U44" i="1"/>
  <c r="V44" i="1"/>
  <c r="W44" i="1"/>
  <c r="X44" i="1"/>
  <c r="Y44" i="1"/>
  <c r="Z44" i="1"/>
  <c r="AA44" i="1"/>
  <c r="AB44" i="1"/>
  <c r="AC44" i="1"/>
  <c r="K45" i="1"/>
  <c r="L45" i="1"/>
  <c r="M45" i="1"/>
  <c r="N45" i="1"/>
  <c r="O45" i="1"/>
  <c r="P45" i="1"/>
  <c r="Q45" i="1"/>
  <c r="S45" i="1"/>
  <c r="T45" i="1"/>
  <c r="U45" i="1"/>
  <c r="V45" i="1"/>
  <c r="W45" i="1"/>
  <c r="X45" i="1"/>
  <c r="Y45" i="1"/>
  <c r="Z45" i="1"/>
  <c r="AA45" i="1"/>
  <c r="AB45" i="1"/>
  <c r="AC45" i="1"/>
  <c r="I43" i="1"/>
  <c r="J43" i="1"/>
  <c r="I44" i="1"/>
  <c r="J44" i="1"/>
  <c r="I45" i="1"/>
  <c r="J45" i="1"/>
  <c r="H44" i="1"/>
  <c r="H45" i="1"/>
  <c r="H43" i="1"/>
  <c r="G43" i="1"/>
  <c r="AE63" i="7"/>
  <c r="S63" i="7"/>
  <c r="AE110" i="7"/>
  <c r="S110" i="7"/>
  <c r="H103" i="7"/>
  <c r="AE53" i="7"/>
  <c r="AE54" i="7"/>
  <c r="AE55" i="7"/>
  <c r="S53" i="7"/>
  <c r="S54" i="7"/>
  <c r="S55" i="7"/>
  <c r="I51" i="7"/>
  <c r="I50" i="7" s="1"/>
  <c r="J51" i="7"/>
  <c r="J50" i="7" s="1"/>
  <c r="K51" i="7"/>
  <c r="K50" i="7" s="1"/>
  <c r="L51" i="7"/>
  <c r="L50" i="7" s="1"/>
  <c r="M51" i="7"/>
  <c r="M50" i="7" s="1"/>
  <c r="N51" i="7"/>
  <c r="N50" i="7" s="1"/>
  <c r="O51" i="7"/>
  <c r="O50" i="7" s="1"/>
  <c r="P51" i="7"/>
  <c r="P50" i="7" s="1"/>
  <c r="Q51" i="7"/>
  <c r="Q50" i="7" s="1"/>
  <c r="R51" i="7"/>
  <c r="R50" i="7" s="1"/>
  <c r="T51" i="7"/>
  <c r="T50" i="7" s="1"/>
  <c r="U51" i="7"/>
  <c r="U50" i="7" s="1"/>
  <c r="V51" i="7"/>
  <c r="V50" i="7" s="1"/>
  <c r="W51" i="7"/>
  <c r="W50" i="7" s="1"/>
  <c r="X51" i="7"/>
  <c r="X50" i="7" s="1"/>
  <c r="Y51" i="7"/>
  <c r="Y50" i="7" s="1"/>
  <c r="Z51" i="7"/>
  <c r="Z50" i="7" s="1"/>
  <c r="AA51" i="7"/>
  <c r="AA50" i="7" s="1"/>
  <c r="AB51" i="7"/>
  <c r="AB50" i="7" s="1"/>
  <c r="AC51" i="7"/>
  <c r="AC50" i="7" s="1"/>
  <c r="AD51" i="7"/>
  <c r="AD50" i="7" s="1"/>
  <c r="E51" i="7"/>
  <c r="E50" i="7" s="1"/>
  <c r="H51" i="7"/>
  <c r="H50" i="7" s="1"/>
  <c r="I94" i="7"/>
  <c r="J94" i="7"/>
  <c r="K95" i="7"/>
  <c r="K94" i="7" s="1"/>
  <c r="L95" i="7"/>
  <c r="L94" i="7" s="1"/>
  <c r="M95" i="7"/>
  <c r="M94" i="7" s="1"/>
  <c r="N95" i="7"/>
  <c r="N94" i="7" s="1"/>
  <c r="O95" i="7"/>
  <c r="O94" i="7" s="1"/>
  <c r="P95" i="7"/>
  <c r="P94" i="7" s="1"/>
  <c r="Q95" i="7"/>
  <c r="Q94" i="7" s="1"/>
  <c r="R95" i="7"/>
  <c r="R94" i="7" s="1"/>
  <c r="T95" i="7"/>
  <c r="T94" i="7" s="1"/>
  <c r="U95" i="7"/>
  <c r="U94" i="7" s="1"/>
  <c r="V94" i="7"/>
  <c r="W95" i="7"/>
  <c r="W94" i="7" s="1"/>
  <c r="X95" i="7"/>
  <c r="X94" i="7" s="1"/>
  <c r="Y95" i="7"/>
  <c r="Y94" i="7" s="1"/>
  <c r="Z95" i="7"/>
  <c r="Z94" i="7" s="1"/>
  <c r="AA95" i="7"/>
  <c r="AA94" i="7" s="1"/>
  <c r="AB95" i="7"/>
  <c r="AB94" i="7" s="1"/>
  <c r="AC95" i="7"/>
  <c r="AC94" i="7" s="1"/>
  <c r="AD95" i="7"/>
  <c r="AD94" i="7" s="1"/>
  <c r="F95" i="7"/>
  <c r="F94" i="7" s="1"/>
  <c r="H95" i="7"/>
  <c r="H94" i="7" s="1"/>
  <c r="J91" i="7"/>
  <c r="K91" i="7"/>
  <c r="L91" i="7"/>
  <c r="M91" i="7"/>
  <c r="N91" i="7"/>
  <c r="O91" i="7"/>
  <c r="P91" i="7"/>
  <c r="Q91" i="7"/>
  <c r="R91" i="7"/>
  <c r="T91" i="7"/>
  <c r="U91" i="7"/>
  <c r="V91" i="7"/>
  <c r="W91" i="7"/>
  <c r="X91" i="7"/>
  <c r="Y91" i="7"/>
  <c r="Z91" i="7"/>
  <c r="AA91" i="7"/>
  <c r="AB91" i="7"/>
  <c r="AC91" i="7"/>
  <c r="AD91" i="7"/>
  <c r="F91" i="7"/>
  <c r="H91" i="7"/>
  <c r="I85" i="7"/>
  <c r="J85" i="7"/>
  <c r="K85" i="7"/>
  <c r="L85" i="7"/>
  <c r="M85" i="7"/>
  <c r="N85" i="7"/>
  <c r="O85" i="7"/>
  <c r="P85" i="7"/>
  <c r="Q85" i="7"/>
  <c r="R85" i="7"/>
  <c r="F85" i="7"/>
  <c r="AF85" i="7"/>
  <c r="H69" i="7"/>
  <c r="H65" i="7"/>
  <c r="I59" i="7"/>
  <c r="J59" i="7"/>
  <c r="K59" i="7"/>
  <c r="L59" i="7"/>
  <c r="M59" i="7"/>
  <c r="N59" i="7"/>
  <c r="O59" i="7"/>
  <c r="P59" i="7"/>
  <c r="Q59" i="7"/>
  <c r="R59" i="7"/>
  <c r="T59" i="7"/>
  <c r="U59" i="7"/>
  <c r="V59" i="7"/>
  <c r="W59" i="7"/>
  <c r="X59" i="7"/>
  <c r="Y59" i="7"/>
  <c r="Z59" i="7"/>
  <c r="AA59" i="7"/>
  <c r="AB59" i="7"/>
  <c r="AC59" i="7"/>
  <c r="AD59" i="7"/>
  <c r="F59" i="7"/>
  <c r="AF51" i="7"/>
  <c r="I81" i="7"/>
  <c r="J81" i="7"/>
  <c r="K81" i="7"/>
  <c r="L81" i="7"/>
  <c r="M81" i="7"/>
  <c r="N81" i="7"/>
  <c r="O81" i="7"/>
  <c r="P81" i="7"/>
  <c r="Q81" i="7"/>
  <c r="R81" i="7"/>
  <c r="T81" i="7"/>
  <c r="U81" i="7"/>
  <c r="V81" i="7"/>
  <c r="W81" i="7"/>
  <c r="X81" i="7"/>
  <c r="Y81" i="7"/>
  <c r="Z81" i="7"/>
  <c r="AA81" i="7"/>
  <c r="AB81" i="7"/>
  <c r="AC81" i="7"/>
  <c r="AD81" i="7"/>
  <c r="F81" i="7"/>
  <c r="H81" i="7"/>
  <c r="I77" i="7"/>
  <c r="J77" i="7"/>
  <c r="K77" i="7"/>
  <c r="L77" i="7"/>
  <c r="M77" i="7"/>
  <c r="N77" i="7"/>
  <c r="O77" i="7"/>
  <c r="P77" i="7"/>
  <c r="Q77" i="7"/>
  <c r="R77" i="7"/>
  <c r="T77" i="7"/>
  <c r="U77" i="7"/>
  <c r="V77" i="7"/>
  <c r="W77" i="7"/>
  <c r="X77" i="7"/>
  <c r="Y77" i="7"/>
  <c r="Z77" i="7"/>
  <c r="AA77" i="7"/>
  <c r="AB77" i="7"/>
  <c r="AC77" i="7"/>
  <c r="AD77" i="7"/>
  <c r="F77" i="7"/>
  <c r="H77" i="7"/>
  <c r="I73" i="7"/>
  <c r="J73" i="7"/>
  <c r="K73" i="7"/>
  <c r="L73" i="7"/>
  <c r="M73" i="7"/>
  <c r="N73" i="7"/>
  <c r="O73" i="7"/>
  <c r="P73" i="7"/>
  <c r="Q73" i="7"/>
  <c r="R73" i="7"/>
  <c r="T73" i="7"/>
  <c r="U73" i="7"/>
  <c r="V73" i="7"/>
  <c r="W73" i="7"/>
  <c r="W49" i="1"/>
  <c r="Y73" i="7"/>
  <c r="Z73" i="7"/>
  <c r="AA73" i="7"/>
  <c r="AB73" i="7"/>
  <c r="AC73" i="7"/>
  <c r="AD73" i="7"/>
  <c r="F73" i="7"/>
  <c r="H73" i="7"/>
  <c r="I69" i="7"/>
  <c r="J69" i="7"/>
  <c r="K69" i="7"/>
  <c r="L69" i="7"/>
  <c r="M69" i="7"/>
  <c r="N69" i="7"/>
  <c r="O69" i="7"/>
  <c r="P69" i="7"/>
  <c r="Q69" i="7"/>
  <c r="R69" i="7"/>
  <c r="T69" i="7"/>
  <c r="U69" i="7"/>
  <c r="V69" i="7"/>
  <c r="W69" i="7"/>
  <c r="X69" i="7"/>
  <c r="Y69" i="7"/>
  <c r="Z69" i="7"/>
  <c r="AA69" i="7"/>
  <c r="AB69" i="7"/>
  <c r="AC69" i="7"/>
  <c r="AD69" i="7"/>
  <c r="F69" i="7"/>
  <c r="I65" i="7"/>
  <c r="K65" i="7"/>
  <c r="L65" i="7"/>
  <c r="M65" i="7"/>
  <c r="N65" i="7"/>
  <c r="O65" i="7"/>
  <c r="P65" i="7"/>
  <c r="Q65" i="7"/>
  <c r="R65" i="7"/>
  <c r="T65" i="7"/>
  <c r="U65" i="7"/>
  <c r="V65" i="7"/>
  <c r="W65" i="7"/>
  <c r="X65" i="7"/>
  <c r="Y65" i="7"/>
  <c r="Z65" i="7"/>
  <c r="AA65" i="7"/>
  <c r="AB65" i="7"/>
  <c r="AC65" i="7"/>
  <c r="AD65" i="7"/>
  <c r="F65" i="7"/>
  <c r="H23" i="7"/>
  <c r="H79" i="8"/>
  <c r="G34" i="5" s="1"/>
  <c r="H99" i="8"/>
  <c r="G42" i="5" s="1"/>
  <c r="I99" i="8"/>
  <c r="J99" i="8"/>
  <c r="I42" i="5" s="1"/>
  <c r="K99" i="8"/>
  <c r="J42" i="5" s="1"/>
  <c r="L99" i="8"/>
  <c r="K42" i="5" s="1"/>
  <c r="M99" i="8"/>
  <c r="L42" i="5" s="1"/>
  <c r="N99" i="8"/>
  <c r="M42" i="5" s="1"/>
  <c r="O99" i="8"/>
  <c r="N42" i="5" s="1"/>
  <c r="P99" i="8"/>
  <c r="Q99" i="8"/>
  <c r="P42" i="5" s="1"/>
  <c r="R99" i="8"/>
  <c r="Q42" i="5" s="1"/>
  <c r="T99" i="8"/>
  <c r="S42" i="5" s="1"/>
  <c r="U99" i="8"/>
  <c r="T42" i="5" s="1"/>
  <c r="V99" i="8"/>
  <c r="U42" i="5" s="1"/>
  <c r="W99" i="8"/>
  <c r="V42" i="5" s="1"/>
  <c r="X99" i="8"/>
  <c r="Y99" i="8"/>
  <c r="X42" i="5" s="1"/>
  <c r="Z99" i="8"/>
  <c r="Y42" i="5" s="1"/>
  <c r="AA99" i="8"/>
  <c r="Z42" i="5" s="1"/>
  <c r="AB99" i="8"/>
  <c r="AA42" i="5" s="1"/>
  <c r="AC99" i="8"/>
  <c r="AB42" i="5" s="1"/>
  <c r="AD99" i="8"/>
  <c r="AC42" i="5" s="1"/>
  <c r="AF99" i="8"/>
  <c r="AF94" i="8" s="1"/>
  <c r="E99" i="8"/>
  <c r="H95" i="8"/>
  <c r="G41" i="5" s="1"/>
  <c r="I95" i="8"/>
  <c r="H41" i="5" s="1"/>
  <c r="J95" i="8"/>
  <c r="I41" i="5" s="1"/>
  <c r="I40" i="5" s="1"/>
  <c r="K95" i="8"/>
  <c r="K94" i="8" s="1"/>
  <c r="L95" i="8"/>
  <c r="K41" i="5" s="1"/>
  <c r="M95" i="8"/>
  <c r="L41" i="5" s="1"/>
  <c r="N95" i="8"/>
  <c r="M41" i="5" s="1"/>
  <c r="M40" i="5" s="1"/>
  <c r="O95" i="8"/>
  <c r="N41" i="5" s="1"/>
  <c r="N40" i="5" s="1"/>
  <c r="P95" i="8"/>
  <c r="O41" i="5" s="1"/>
  <c r="Q95" i="8"/>
  <c r="P41" i="5" s="1"/>
  <c r="R95" i="8"/>
  <c r="T95" i="8"/>
  <c r="S41" i="5" s="1"/>
  <c r="U95" i="8"/>
  <c r="U94" i="8" s="1"/>
  <c r="V95" i="8"/>
  <c r="V94" i="8" s="1"/>
  <c r="W95" i="8"/>
  <c r="W94" i="8" s="1"/>
  <c r="X95" i="8"/>
  <c r="W41" i="5" s="1"/>
  <c r="Y95" i="8"/>
  <c r="X41" i="5" s="1"/>
  <c r="Z95" i="8"/>
  <c r="Z94" i="8" s="1"/>
  <c r="AA95" i="8"/>
  <c r="Z41" i="5" s="1"/>
  <c r="AB95" i="8"/>
  <c r="AA41" i="5" s="1"/>
  <c r="AC95" i="8"/>
  <c r="AC94" i="8" s="1"/>
  <c r="AD95" i="8"/>
  <c r="AD94" i="8" s="1"/>
  <c r="F95" i="8"/>
  <c r="H92" i="8"/>
  <c r="G39" i="5" s="1"/>
  <c r="E92" i="8"/>
  <c r="I92" i="8"/>
  <c r="J92" i="8"/>
  <c r="K92" i="8"/>
  <c r="L92" i="8"/>
  <c r="K39" i="5" s="1"/>
  <c r="M92" i="8"/>
  <c r="L39" i="5" s="1"/>
  <c r="N92" i="8"/>
  <c r="M39" i="5" s="1"/>
  <c r="O92" i="8"/>
  <c r="P92" i="8"/>
  <c r="O39" i="5" s="1"/>
  <c r="Q92" i="8"/>
  <c r="P39" i="5" s="1"/>
  <c r="R92" i="8"/>
  <c r="T92" i="8"/>
  <c r="U92" i="8"/>
  <c r="T39" i="5" s="1"/>
  <c r="V92" i="8"/>
  <c r="U39" i="5" s="1"/>
  <c r="W92" i="8"/>
  <c r="V39" i="5" s="1"/>
  <c r="X92" i="8"/>
  <c r="Y92" i="8"/>
  <c r="X39" i="5" s="1"/>
  <c r="Z92" i="8"/>
  <c r="AA92" i="8"/>
  <c r="AB92" i="8"/>
  <c r="AC92" i="8"/>
  <c r="AB39" i="5" s="1"/>
  <c r="AD92" i="8"/>
  <c r="AC39" i="5" s="1"/>
  <c r="AF92" i="8"/>
  <c r="H86" i="8"/>
  <c r="I86" i="8"/>
  <c r="H38" i="5" s="1"/>
  <c r="J86" i="8"/>
  <c r="I38" i="5" s="1"/>
  <c r="K86" i="8"/>
  <c r="J38" i="5" s="1"/>
  <c r="L86" i="8"/>
  <c r="K38" i="5" s="1"/>
  <c r="M86" i="8"/>
  <c r="L38" i="5" s="1"/>
  <c r="N86" i="8"/>
  <c r="M38" i="5" s="1"/>
  <c r="O86" i="8"/>
  <c r="N38" i="5" s="1"/>
  <c r="P86" i="8"/>
  <c r="O38" i="5" s="1"/>
  <c r="Q86" i="8"/>
  <c r="P38" i="5" s="1"/>
  <c r="R86" i="8"/>
  <c r="Q38" i="5" s="1"/>
  <c r="T86" i="8"/>
  <c r="S38" i="5" s="1"/>
  <c r="U86" i="8"/>
  <c r="V86" i="8"/>
  <c r="U38" i="5" s="1"/>
  <c r="W86" i="8"/>
  <c r="V38" i="5" s="1"/>
  <c r="X86" i="8"/>
  <c r="W38" i="5" s="1"/>
  <c r="Y86" i="8"/>
  <c r="Z86" i="8"/>
  <c r="Y38" i="5" s="1"/>
  <c r="AA86" i="8"/>
  <c r="Z38" i="5" s="1"/>
  <c r="AB86" i="8"/>
  <c r="AA38" i="5" s="1"/>
  <c r="AC86" i="8"/>
  <c r="AB38" i="5" s="1"/>
  <c r="AD86" i="8"/>
  <c r="AC38" i="5" s="1"/>
  <c r="F86" i="8"/>
  <c r="H82" i="8"/>
  <c r="G35" i="5" s="1"/>
  <c r="I82" i="8"/>
  <c r="H35" i="5" s="1"/>
  <c r="J82" i="8"/>
  <c r="I35" i="5" s="1"/>
  <c r="K82" i="8"/>
  <c r="J35" i="5" s="1"/>
  <c r="L82" i="8"/>
  <c r="K35" i="5" s="1"/>
  <c r="M82" i="8"/>
  <c r="L35" i="5" s="1"/>
  <c r="N82" i="8"/>
  <c r="M35" i="5" s="1"/>
  <c r="O82" i="8"/>
  <c r="N35" i="5" s="1"/>
  <c r="P82" i="8"/>
  <c r="O35" i="5" s="1"/>
  <c r="Q82" i="8"/>
  <c r="P35" i="5" s="1"/>
  <c r="R82" i="8"/>
  <c r="Q35" i="5" s="1"/>
  <c r="T82" i="8"/>
  <c r="S35" i="5" s="1"/>
  <c r="U82" i="8"/>
  <c r="T35" i="5" s="1"/>
  <c r="V82" i="8"/>
  <c r="U35" i="5" s="1"/>
  <c r="W82" i="8"/>
  <c r="V35" i="5" s="1"/>
  <c r="X82" i="8"/>
  <c r="W35" i="5" s="1"/>
  <c r="Y82" i="8"/>
  <c r="X35" i="5" s="1"/>
  <c r="Z82" i="8"/>
  <c r="Y35" i="5" s="1"/>
  <c r="AA82" i="8"/>
  <c r="Z35" i="5" s="1"/>
  <c r="AB82" i="8"/>
  <c r="AA35" i="5" s="1"/>
  <c r="AC82" i="8"/>
  <c r="AB35" i="5" s="1"/>
  <c r="AD82" i="8"/>
  <c r="AC35" i="5" s="1"/>
  <c r="AF82" i="8"/>
  <c r="E82" i="8"/>
  <c r="K79" i="8"/>
  <c r="I79" i="8"/>
  <c r="J79" i="8"/>
  <c r="L79" i="8"/>
  <c r="M79" i="8"/>
  <c r="M78" i="8" s="1"/>
  <c r="N79" i="8"/>
  <c r="O79" i="8"/>
  <c r="P79" i="8"/>
  <c r="Q79" i="8"/>
  <c r="R79" i="8"/>
  <c r="T79" i="8"/>
  <c r="U79" i="8"/>
  <c r="T34" i="5" s="1"/>
  <c r="V79" i="8"/>
  <c r="V78" i="8" s="1"/>
  <c r="W79" i="8"/>
  <c r="X79" i="8"/>
  <c r="Y79" i="8"/>
  <c r="Z79" i="8"/>
  <c r="AA79" i="8"/>
  <c r="AB79" i="8"/>
  <c r="AC79" i="8"/>
  <c r="AD79" i="8"/>
  <c r="AD78" i="8" s="1"/>
  <c r="AF79" i="8"/>
  <c r="F79" i="8"/>
  <c r="H37" i="8"/>
  <c r="G17" i="5" s="1"/>
  <c r="I37" i="8"/>
  <c r="H17" i="5" s="1"/>
  <c r="J37" i="8"/>
  <c r="I17" i="5" s="1"/>
  <c r="K37" i="8"/>
  <c r="J17" i="5" s="1"/>
  <c r="L37" i="8"/>
  <c r="K17" i="5" s="1"/>
  <c r="M37" i="8"/>
  <c r="L17" i="5" s="1"/>
  <c r="N37" i="8"/>
  <c r="M17" i="5" s="1"/>
  <c r="O37" i="8"/>
  <c r="N17" i="5" s="1"/>
  <c r="P37" i="8"/>
  <c r="O17" i="5" s="1"/>
  <c r="Q37" i="8"/>
  <c r="P17" i="5" s="1"/>
  <c r="R37" i="8"/>
  <c r="Q17" i="5" s="1"/>
  <c r="T37" i="8"/>
  <c r="S17" i="5" s="1"/>
  <c r="U37" i="8"/>
  <c r="T17" i="5" s="1"/>
  <c r="V37" i="8"/>
  <c r="U17" i="5" s="1"/>
  <c r="W37" i="8"/>
  <c r="V17" i="5" s="1"/>
  <c r="X37" i="8"/>
  <c r="W17" i="5" s="1"/>
  <c r="Y37" i="8"/>
  <c r="X17" i="5" s="1"/>
  <c r="Z37" i="8"/>
  <c r="Y17" i="5" s="1"/>
  <c r="AA37" i="8"/>
  <c r="Z17" i="5" s="1"/>
  <c r="AB37" i="8"/>
  <c r="AA17" i="5" s="1"/>
  <c r="AC37" i="8"/>
  <c r="AB17" i="5" s="1"/>
  <c r="AD37" i="8"/>
  <c r="AC17" i="5" s="1"/>
  <c r="AF37" i="8"/>
  <c r="E37" i="8"/>
  <c r="F35" i="8"/>
  <c r="H35" i="8"/>
  <c r="G16" i="5" s="1"/>
  <c r="I35" i="8"/>
  <c r="H16" i="5" s="1"/>
  <c r="J35" i="8"/>
  <c r="I16" i="5" s="1"/>
  <c r="K35" i="8"/>
  <c r="J16" i="5" s="1"/>
  <c r="L35" i="8"/>
  <c r="K16" i="5" s="1"/>
  <c r="M35" i="8"/>
  <c r="L16" i="5" s="1"/>
  <c r="N35" i="8"/>
  <c r="M16" i="5" s="1"/>
  <c r="O35" i="8"/>
  <c r="N16" i="5" s="1"/>
  <c r="P35" i="8"/>
  <c r="O16" i="5" s="1"/>
  <c r="Q35" i="8"/>
  <c r="P16" i="5" s="1"/>
  <c r="R35" i="8"/>
  <c r="Q16" i="5" s="1"/>
  <c r="T35" i="8"/>
  <c r="S16" i="5" s="1"/>
  <c r="U35" i="8"/>
  <c r="T16" i="5" s="1"/>
  <c r="V35" i="8"/>
  <c r="U16" i="5" s="1"/>
  <c r="W35" i="8"/>
  <c r="V16" i="5" s="1"/>
  <c r="X35" i="8"/>
  <c r="W16" i="5" s="1"/>
  <c r="Y35" i="8"/>
  <c r="X16" i="5" s="1"/>
  <c r="Z35" i="8"/>
  <c r="Y16" i="5" s="1"/>
  <c r="AA35" i="8"/>
  <c r="Z16" i="5" s="1"/>
  <c r="AB35" i="8"/>
  <c r="AA16" i="5" s="1"/>
  <c r="AC35" i="8"/>
  <c r="AB16" i="5" s="1"/>
  <c r="AD35" i="8"/>
  <c r="AC16" i="5" s="1"/>
  <c r="AF35" i="8"/>
  <c r="AB47" i="1" l="1"/>
  <c r="AB166" i="21"/>
  <c r="AB183" i="20"/>
  <c r="X47" i="1"/>
  <c r="X166" i="21"/>
  <c r="X183" i="20"/>
  <c r="T47" i="1"/>
  <c r="T166" i="21"/>
  <c r="T183" i="20"/>
  <c r="O47" i="1"/>
  <c r="O183" i="20"/>
  <c r="O166" i="21"/>
  <c r="K47" i="1"/>
  <c r="K183" i="20"/>
  <c r="K166" i="21"/>
  <c r="AC48" i="1"/>
  <c r="AC167" i="21"/>
  <c r="AC184" i="20"/>
  <c r="Y48" i="1"/>
  <c r="Y167" i="21"/>
  <c r="Y184" i="20"/>
  <c r="U48" i="1"/>
  <c r="U167" i="21"/>
  <c r="U184" i="20"/>
  <c r="P48" i="1"/>
  <c r="P184" i="20"/>
  <c r="P167" i="21"/>
  <c r="L48" i="1"/>
  <c r="L184" i="20"/>
  <c r="L167" i="21"/>
  <c r="H48" i="1"/>
  <c r="H184" i="20"/>
  <c r="H167" i="21"/>
  <c r="AB49" i="1"/>
  <c r="AB168" i="21"/>
  <c r="AB185" i="20"/>
  <c r="X49" i="1"/>
  <c r="X168" i="21"/>
  <c r="X185" i="20"/>
  <c r="T49" i="1"/>
  <c r="T168" i="21"/>
  <c r="T185" i="20"/>
  <c r="O49" i="1"/>
  <c r="O168" i="21"/>
  <c r="O185" i="20"/>
  <c r="K49" i="1"/>
  <c r="K168" i="21"/>
  <c r="K185" i="20"/>
  <c r="G50" i="1"/>
  <c r="G186" i="20"/>
  <c r="G169" i="21"/>
  <c r="AA50" i="1"/>
  <c r="AA169" i="21"/>
  <c r="AA186" i="20"/>
  <c r="W50" i="1"/>
  <c r="W169" i="21"/>
  <c r="W186" i="20"/>
  <c r="S50" i="1"/>
  <c r="S169" i="21"/>
  <c r="S186" i="20"/>
  <c r="N50" i="1"/>
  <c r="N169" i="21"/>
  <c r="N186" i="20"/>
  <c r="J169" i="21"/>
  <c r="J186" i="20"/>
  <c r="Z51" i="1"/>
  <c r="Z170" i="21"/>
  <c r="Z187" i="20"/>
  <c r="V51" i="1"/>
  <c r="V170" i="21"/>
  <c r="V187" i="20"/>
  <c r="Q51" i="1"/>
  <c r="Q170" i="21"/>
  <c r="Q187" i="20"/>
  <c r="M51" i="1"/>
  <c r="M170" i="21"/>
  <c r="M187" i="20"/>
  <c r="I51" i="1"/>
  <c r="I187" i="20"/>
  <c r="I170" i="21"/>
  <c r="G47" i="20"/>
  <c r="G30" i="21"/>
  <c r="AA47" i="1"/>
  <c r="AA166" i="21"/>
  <c r="AA183" i="20"/>
  <c r="W47" i="1"/>
  <c r="W166" i="21"/>
  <c r="W183" i="20"/>
  <c r="S47" i="1"/>
  <c r="S166" i="21"/>
  <c r="S183" i="20"/>
  <c r="N47" i="1"/>
  <c r="N183" i="20"/>
  <c r="N166" i="21"/>
  <c r="J47" i="1"/>
  <c r="J183" i="20"/>
  <c r="J166" i="21"/>
  <c r="AB48" i="1"/>
  <c r="AB167" i="21"/>
  <c r="AB184" i="20"/>
  <c r="X48" i="1"/>
  <c r="X167" i="21"/>
  <c r="X184" i="20"/>
  <c r="T48" i="1"/>
  <c r="T167" i="21"/>
  <c r="T184" i="20"/>
  <c r="O48" i="1"/>
  <c r="O184" i="20"/>
  <c r="O167" i="21"/>
  <c r="K48" i="1"/>
  <c r="K184" i="20"/>
  <c r="K167" i="21"/>
  <c r="G49" i="1"/>
  <c r="G168" i="21"/>
  <c r="G185" i="20"/>
  <c r="AA49" i="1"/>
  <c r="AA168" i="21"/>
  <c r="AA185" i="20"/>
  <c r="S49" i="1"/>
  <c r="S168" i="21"/>
  <c r="S185" i="20"/>
  <c r="N49" i="1"/>
  <c r="N185" i="20"/>
  <c r="N168" i="21"/>
  <c r="J49" i="1"/>
  <c r="J185" i="20"/>
  <c r="J168" i="21"/>
  <c r="Z50" i="1"/>
  <c r="Z169" i="21"/>
  <c r="Z186" i="20"/>
  <c r="V50" i="1"/>
  <c r="V169" i="21"/>
  <c r="V186" i="20"/>
  <c r="Q50" i="1"/>
  <c r="Q186" i="20"/>
  <c r="Q169" i="21"/>
  <c r="M50" i="1"/>
  <c r="M186" i="20"/>
  <c r="M169" i="21"/>
  <c r="I186" i="20"/>
  <c r="I169" i="21"/>
  <c r="AC51" i="1"/>
  <c r="AC170" i="21"/>
  <c r="AC187" i="20"/>
  <c r="Y51" i="1"/>
  <c r="Y170" i="21"/>
  <c r="Y187" i="20"/>
  <c r="U51" i="1"/>
  <c r="U170" i="21"/>
  <c r="U187" i="20"/>
  <c r="P51" i="1"/>
  <c r="P170" i="21"/>
  <c r="P187" i="20"/>
  <c r="L51" i="1"/>
  <c r="L170" i="21"/>
  <c r="L187" i="20"/>
  <c r="H51" i="1"/>
  <c r="H170" i="21"/>
  <c r="H187" i="20"/>
  <c r="G183" i="20"/>
  <c r="G166" i="21"/>
  <c r="G47" i="1"/>
  <c r="Z47" i="1"/>
  <c r="Z166" i="21"/>
  <c r="Z183" i="20"/>
  <c r="V47" i="1"/>
  <c r="V166" i="21"/>
  <c r="V183" i="20"/>
  <c r="Q47" i="1"/>
  <c r="Q183" i="20"/>
  <c r="Q166" i="21"/>
  <c r="M47" i="1"/>
  <c r="M166" i="21"/>
  <c r="M183" i="20"/>
  <c r="H47" i="1"/>
  <c r="R47" i="1" s="1"/>
  <c r="H166" i="21"/>
  <c r="H183" i="20"/>
  <c r="AA48" i="1"/>
  <c r="AA167" i="21"/>
  <c r="AA184" i="20"/>
  <c r="W48" i="1"/>
  <c r="W167" i="21"/>
  <c r="W184" i="20"/>
  <c r="S48" i="1"/>
  <c r="S167" i="21"/>
  <c r="S184" i="20"/>
  <c r="N48" i="1"/>
  <c r="N167" i="21"/>
  <c r="N184" i="20"/>
  <c r="J48" i="1"/>
  <c r="J167" i="21"/>
  <c r="J184" i="20"/>
  <c r="Z49" i="1"/>
  <c r="Z168" i="21"/>
  <c r="Z185" i="20"/>
  <c r="V49" i="1"/>
  <c r="V168" i="21"/>
  <c r="V185" i="20"/>
  <c r="Q49" i="1"/>
  <c r="Q185" i="20"/>
  <c r="Q168" i="21"/>
  <c r="M49" i="1"/>
  <c r="M185" i="20"/>
  <c r="M168" i="21"/>
  <c r="I49" i="1"/>
  <c r="I185" i="20"/>
  <c r="I168" i="21"/>
  <c r="AC50" i="1"/>
  <c r="AC169" i="21"/>
  <c r="AC186" i="20"/>
  <c r="Y50" i="1"/>
  <c r="Y169" i="21"/>
  <c r="Y186" i="20"/>
  <c r="U50" i="1"/>
  <c r="U169" i="21"/>
  <c r="U186" i="20"/>
  <c r="P50" i="1"/>
  <c r="P169" i="21"/>
  <c r="P186" i="20"/>
  <c r="L50" i="1"/>
  <c r="L169" i="21"/>
  <c r="L186" i="20"/>
  <c r="H50" i="1"/>
  <c r="H169" i="21"/>
  <c r="H186" i="20"/>
  <c r="AB51" i="1"/>
  <c r="AB170" i="21"/>
  <c r="AB187" i="20"/>
  <c r="X51" i="1"/>
  <c r="X170" i="21"/>
  <c r="X187" i="20"/>
  <c r="T51" i="1"/>
  <c r="T170" i="21"/>
  <c r="T187" i="20"/>
  <c r="O51" i="1"/>
  <c r="O187" i="20"/>
  <c r="O170" i="21"/>
  <c r="K51" i="1"/>
  <c r="K187" i="20"/>
  <c r="K170" i="21"/>
  <c r="G48" i="1"/>
  <c r="G46" i="1" s="1"/>
  <c r="G184" i="20"/>
  <c r="G167" i="21"/>
  <c r="AC47" i="1"/>
  <c r="AC166" i="21"/>
  <c r="AC183" i="20"/>
  <c r="Y47" i="1"/>
  <c r="Y166" i="21"/>
  <c r="Y183" i="20"/>
  <c r="U47" i="1"/>
  <c r="U166" i="21"/>
  <c r="U183" i="20"/>
  <c r="P47" i="1"/>
  <c r="P166" i="21"/>
  <c r="P183" i="20"/>
  <c r="P182" i="20" s="1"/>
  <c r="P177" i="20" s="1"/>
  <c r="P176" i="20" s="1"/>
  <c r="P174" i="20" s="1"/>
  <c r="L47" i="1"/>
  <c r="L166" i="21"/>
  <c r="L183" i="20"/>
  <c r="Z48" i="1"/>
  <c r="Z167" i="21"/>
  <c r="Z184" i="20"/>
  <c r="V48" i="1"/>
  <c r="V167" i="21"/>
  <c r="V184" i="20"/>
  <c r="Q48" i="1"/>
  <c r="Q167" i="21"/>
  <c r="Q184" i="20"/>
  <c r="M48" i="1"/>
  <c r="M167" i="21"/>
  <c r="M184" i="20"/>
  <c r="I48" i="1"/>
  <c r="R48" i="1" s="1"/>
  <c r="I167" i="21"/>
  <c r="I184" i="20"/>
  <c r="I182" i="20" s="1"/>
  <c r="I177" i="20" s="1"/>
  <c r="I176" i="20" s="1"/>
  <c r="I174" i="20" s="1"/>
  <c r="AC49" i="1"/>
  <c r="AC168" i="21"/>
  <c r="AC185" i="20"/>
  <c r="Y49" i="1"/>
  <c r="AD49" i="1" s="1"/>
  <c r="Y168" i="21"/>
  <c r="Y185" i="20"/>
  <c r="U49" i="1"/>
  <c r="U168" i="21"/>
  <c r="U185" i="20"/>
  <c r="P49" i="1"/>
  <c r="P185" i="20"/>
  <c r="P168" i="21"/>
  <c r="L49" i="1"/>
  <c r="L185" i="20"/>
  <c r="L168" i="21"/>
  <c r="H49" i="1"/>
  <c r="H185" i="20"/>
  <c r="H168" i="21"/>
  <c r="AB50" i="1"/>
  <c r="AB169" i="21"/>
  <c r="AB186" i="20"/>
  <c r="X50" i="1"/>
  <c r="X169" i="21"/>
  <c r="X186" i="20"/>
  <c r="T50" i="1"/>
  <c r="T169" i="21"/>
  <c r="T186" i="20"/>
  <c r="O50" i="1"/>
  <c r="O186" i="20"/>
  <c r="O169" i="21"/>
  <c r="K186" i="20"/>
  <c r="K169" i="21"/>
  <c r="G51" i="1"/>
  <c r="G187" i="20"/>
  <c r="G170" i="21"/>
  <c r="AA51" i="1"/>
  <c r="AA46" i="1" s="1"/>
  <c r="AA170" i="21"/>
  <c r="AA187" i="20"/>
  <c r="W51" i="1"/>
  <c r="W170" i="21"/>
  <c r="W187" i="20"/>
  <c r="S51" i="1"/>
  <c r="S170" i="21"/>
  <c r="S187" i="20"/>
  <c r="AD187" i="20" s="1"/>
  <c r="N51" i="1"/>
  <c r="N187" i="20"/>
  <c r="N170" i="21"/>
  <c r="J51" i="1"/>
  <c r="R51" i="1" s="1"/>
  <c r="J187" i="20"/>
  <c r="J170" i="21"/>
  <c r="G15" i="1"/>
  <c r="H12" i="7"/>
  <c r="H11" i="7" s="1"/>
  <c r="H9" i="7" s="1"/>
  <c r="K3" i="7"/>
  <c r="L64" i="7"/>
  <c r="L58" i="7" s="1"/>
  <c r="L56" i="7" s="1"/>
  <c r="L3" i="7"/>
  <c r="I64" i="7"/>
  <c r="M46" i="1"/>
  <c r="N3" i="7"/>
  <c r="N64" i="7"/>
  <c r="N58" i="7" s="1"/>
  <c r="N56" i="7" s="1"/>
  <c r="H64" i="7"/>
  <c r="H58" i="7" s="1"/>
  <c r="H56" i="7" s="1"/>
  <c r="H3" i="7"/>
  <c r="M64" i="7"/>
  <c r="M58" i="7" s="1"/>
  <c r="M56" i="7" s="1"/>
  <c r="M3" i="7"/>
  <c r="J3" i="7"/>
  <c r="R64" i="7"/>
  <c r="R58" i="7" s="1"/>
  <c r="R56" i="7" s="1"/>
  <c r="Q64" i="7"/>
  <c r="Q58" i="7" s="1"/>
  <c r="Q56" i="7" s="1"/>
  <c r="O46" i="1"/>
  <c r="P64" i="7"/>
  <c r="P58" i="7" s="1"/>
  <c r="P56" i="7" s="1"/>
  <c r="O64" i="7"/>
  <c r="O58" i="7" s="1"/>
  <c r="O56" i="7" s="1"/>
  <c r="L40" i="5"/>
  <c r="T78" i="8"/>
  <c r="K64" i="7"/>
  <c r="K58" i="7" s="1"/>
  <c r="K56" i="7" s="1"/>
  <c r="J64" i="7"/>
  <c r="J58" i="7" s="1"/>
  <c r="J56" i="7" s="1"/>
  <c r="L46" i="1"/>
  <c r="G14" i="1"/>
  <c r="G13" i="1" s="1"/>
  <c r="Y78" i="8"/>
  <c r="P78" i="8"/>
  <c r="AC78" i="8"/>
  <c r="W78" i="8"/>
  <c r="N78" i="8"/>
  <c r="AA78" i="8"/>
  <c r="R78" i="8"/>
  <c r="H78" i="8"/>
  <c r="L78" i="8"/>
  <c r="T94" i="8"/>
  <c r="O37" i="5"/>
  <c r="Q34" i="5"/>
  <c r="Q33" i="5" s="1"/>
  <c r="V37" i="5"/>
  <c r="M37" i="5"/>
  <c r="O34" i="5"/>
  <c r="O33" i="5" s="1"/>
  <c r="M34" i="5"/>
  <c r="M33" i="5" s="1"/>
  <c r="J41" i="5"/>
  <c r="J40" i="5" s="1"/>
  <c r="U85" i="8"/>
  <c r="AB85" i="8"/>
  <c r="T85" i="8"/>
  <c r="K85" i="8"/>
  <c r="G33" i="5"/>
  <c r="Y41" i="5"/>
  <c r="Y40" i="5" s="1"/>
  <c r="J78" i="8"/>
  <c r="Z85" i="8"/>
  <c r="H42" i="1"/>
  <c r="V42" i="1"/>
  <c r="M42" i="1"/>
  <c r="K50" i="1"/>
  <c r="J50" i="1"/>
  <c r="I50" i="1"/>
  <c r="Z78" i="8"/>
  <c r="Y34" i="5"/>
  <c r="Y33" i="5" s="1"/>
  <c r="X78" i="8"/>
  <c r="W34" i="5"/>
  <c r="W33" i="5" s="1"/>
  <c r="Q78" i="8"/>
  <c r="P34" i="5"/>
  <c r="P33" i="5" s="1"/>
  <c r="O78" i="8"/>
  <c r="N34" i="5"/>
  <c r="N33" i="5" s="1"/>
  <c r="Y85" i="8"/>
  <c r="X38" i="5"/>
  <c r="X37" i="5" s="1"/>
  <c r="H85" i="8"/>
  <c r="G38" i="5"/>
  <c r="G37" i="5" s="1"/>
  <c r="X85" i="8"/>
  <c r="W39" i="5"/>
  <c r="W37" i="5" s="1"/>
  <c r="O85" i="8"/>
  <c r="N39" i="5"/>
  <c r="N37" i="5" s="1"/>
  <c r="I85" i="8"/>
  <c r="H39" i="5"/>
  <c r="H37" i="5" s="1"/>
  <c r="R94" i="8"/>
  <c r="Q41" i="5"/>
  <c r="Q40" i="5" s="1"/>
  <c r="P94" i="8"/>
  <c r="G40" i="5"/>
  <c r="J94" i="8"/>
  <c r="M85" i="8"/>
  <c r="AA94" i="8"/>
  <c r="L94" i="8"/>
  <c r="I42" i="1"/>
  <c r="I78" i="8"/>
  <c r="K78" i="8"/>
  <c r="T33" i="5"/>
  <c r="AC37" i="5"/>
  <c r="U37" i="5"/>
  <c r="P37" i="5"/>
  <c r="AA85" i="8"/>
  <c r="W85" i="8"/>
  <c r="R85" i="8"/>
  <c r="P85" i="8"/>
  <c r="N85" i="8"/>
  <c r="J85" i="8"/>
  <c r="Q85" i="8"/>
  <c r="AA40" i="5"/>
  <c r="S40" i="5"/>
  <c r="X94" i="8"/>
  <c r="Q94" i="8"/>
  <c r="I94" i="8"/>
  <c r="AB94" i="8"/>
  <c r="J34" i="5"/>
  <c r="J33" i="5" s="1"/>
  <c r="Z34" i="5"/>
  <c r="Z33" i="5" s="1"/>
  <c r="X34" i="5"/>
  <c r="X33" i="5" s="1"/>
  <c r="V34" i="5"/>
  <c r="V33" i="5" s="1"/>
  <c r="H42" i="5"/>
  <c r="H40" i="5" s="1"/>
  <c r="F55" i="7"/>
  <c r="G55" i="7" s="1"/>
  <c r="E110" i="7"/>
  <c r="E63" i="7"/>
  <c r="G63" i="7" s="1"/>
  <c r="F48" i="13"/>
  <c r="R53" i="1"/>
  <c r="R64" i="1"/>
  <c r="R54" i="1"/>
  <c r="R63" i="1"/>
  <c r="R34" i="1"/>
  <c r="R70" i="1"/>
  <c r="R55" i="1"/>
  <c r="F54" i="7"/>
  <c r="G54" i="7" s="1"/>
  <c r="R56" i="1"/>
  <c r="F53" i="7"/>
  <c r="G53" i="7" s="1"/>
  <c r="R57" i="1"/>
  <c r="R49" i="1"/>
  <c r="R62" i="1"/>
  <c r="AD51" i="1"/>
  <c r="AD59" i="1"/>
  <c r="AD50" i="1"/>
  <c r="AD55" i="1"/>
  <c r="AD64" i="1"/>
  <c r="AD35" i="1"/>
  <c r="AD71" i="1"/>
  <c r="R75" i="1"/>
  <c r="R74" i="1" s="1"/>
  <c r="AD75" i="1"/>
  <c r="AD45" i="1"/>
  <c r="AB61" i="1"/>
  <c r="T61" i="1"/>
  <c r="R37" i="1"/>
  <c r="R73" i="1"/>
  <c r="AD53" i="1"/>
  <c r="AD62" i="1"/>
  <c r="R36" i="1"/>
  <c r="R72" i="1"/>
  <c r="AD44" i="1"/>
  <c r="AD56" i="1"/>
  <c r="AD65" i="1"/>
  <c r="R35" i="1"/>
  <c r="AD36" i="1"/>
  <c r="R71" i="1"/>
  <c r="AD72" i="1"/>
  <c r="AD47" i="1"/>
  <c r="AD60" i="1"/>
  <c r="R43" i="1"/>
  <c r="AD43" i="1"/>
  <c r="R45" i="1"/>
  <c r="AD54" i="1"/>
  <c r="AD63" i="1"/>
  <c r="R59" i="1"/>
  <c r="AD34" i="1"/>
  <c r="AD70" i="1"/>
  <c r="R44" i="1"/>
  <c r="AD57" i="1"/>
  <c r="R65" i="1"/>
  <c r="AD37" i="1"/>
  <c r="AD73" i="1"/>
  <c r="AD76" i="1"/>
  <c r="AD48" i="1"/>
  <c r="W42" i="1"/>
  <c r="N42" i="1"/>
  <c r="AA61" i="1"/>
  <c r="K61" i="1"/>
  <c r="X42" i="1"/>
  <c r="Z42" i="1"/>
  <c r="Q42" i="1"/>
  <c r="W46" i="1"/>
  <c r="N46" i="1"/>
  <c r="Y42" i="1"/>
  <c r="P42" i="1"/>
  <c r="V61" i="1"/>
  <c r="M61" i="1"/>
  <c r="G58" i="1"/>
  <c r="Y46" i="1"/>
  <c r="O42" i="1"/>
  <c r="AC61" i="1"/>
  <c r="U61" i="1"/>
  <c r="L61" i="1"/>
  <c r="J61" i="1"/>
  <c r="AC42" i="1"/>
  <c r="U42" i="1"/>
  <c r="L42" i="1"/>
  <c r="Z61" i="1"/>
  <c r="Q61" i="1"/>
  <c r="I61" i="1"/>
  <c r="AB42" i="1"/>
  <c r="T42" i="1"/>
  <c r="K42" i="1"/>
  <c r="Y61" i="1"/>
  <c r="P61" i="1"/>
  <c r="H61" i="1"/>
  <c r="P46" i="1"/>
  <c r="J42" i="1"/>
  <c r="AA42" i="1"/>
  <c r="X61" i="1"/>
  <c r="O61" i="1"/>
  <c r="W61" i="1"/>
  <c r="N61" i="1"/>
  <c r="S61" i="1"/>
  <c r="U46" i="1"/>
  <c r="AB46" i="1"/>
  <c r="V46" i="1"/>
  <c r="AC46" i="1"/>
  <c r="T46" i="1"/>
  <c r="S46" i="1"/>
  <c r="Z46" i="1"/>
  <c r="Q46" i="1"/>
  <c r="X46" i="1"/>
  <c r="G33" i="1"/>
  <c r="S42" i="1"/>
  <c r="G52" i="1"/>
  <c r="G61" i="1"/>
  <c r="G42" i="1"/>
  <c r="Y64" i="7"/>
  <c r="Y58" i="7" s="1"/>
  <c r="Y56" i="7" s="1"/>
  <c r="W64" i="7"/>
  <c r="W58" i="7" s="1"/>
  <c r="W56" i="7" s="1"/>
  <c r="F64" i="7"/>
  <c r="F58" i="7" s="1"/>
  <c r="F56" i="7" s="1"/>
  <c r="X64" i="7"/>
  <c r="X58" i="7" s="1"/>
  <c r="X56" i="7" s="1"/>
  <c r="AD64" i="7"/>
  <c r="AD58" i="7" s="1"/>
  <c r="AD56" i="7" s="1"/>
  <c r="V64" i="7"/>
  <c r="V58" i="7" s="1"/>
  <c r="V56" i="7" s="1"/>
  <c r="AB64" i="7"/>
  <c r="AB58" i="7" s="1"/>
  <c r="AB56" i="7" s="1"/>
  <c r="T64" i="7"/>
  <c r="T58" i="7" s="1"/>
  <c r="T56" i="7" s="1"/>
  <c r="AC64" i="7"/>
  <c r="AC58" i="7" s="1"/>
  <c r="AC56" i="7" s="1"/>
  <c r="U64" i="7"/>
  <c r="U58" i="7" s="1"/>
  <c r="U56" i="7" s="1"/>
  <c r="Z64" i="7"/>
  <c r="Z58" i="7" s="1"/>
  <c r="Z56" i="7" s="1"/>
  <c r="AA64" i="7"/>
  <c r="AA58" i="7" s="1"/>
  <c r="AA56" i="7" s="1"/>
  <c r="K37" i="5"/>
  <c r="X40" i="5"/>
  <c r="AB37" i="5"/>
  <c r="K40" i="5"/>
  <c r="I34" i="5"/>
  <c r="I33" i="5" s="1"/>
  <c r="S39" i="5"/>
  <c r="S37" i="5" s="1"/>
  <c r="H34" i="5"/>
  <c r="H33" i="5" s="1"/>
  <c r="Y94" i="8"/>
  <c r="W42" i="5"/>
  <c r="W40" i="5" s="1"/>
  <c r="Z40" i="5"/>
  <c r="S34" i="5"/>
  <c r="S33" i="5" s="1"/>
  <c r="L37" i="5"/>
  <c r="AA39" i="5"/>
  <c r="AA37" i="5" s="1"/>
  <c r="V41" i="5"/>
  <c r="V40" i="5" s="1"/>
  <c r="U78" i="8"/>
  <c r="AC85" i="8"/>
  <c r="O94" i="8"/>
  <c r="L34" i="5"/>
  <c r="L33" i="5" s="1"/>
  <c r="AC34" i="5"/>
  <c r="AC33" i="5" s="1"/>
  <c r="U34" i="5"/>
  <c r="U33" i="5" s="1"/>
  <c r="T38" i="5"/>
  <c r="T37" i="5" s="1"/>
  <c r="Z39" i="5"/>
  <c r="Z37" i="5" s="1"/>
  <c r="AC41" i="5"/>
  <c r="AC40" i="5" s="1"/>
  <c r="U41" i="5"/>
  <c r="U40" i="5" s="1"/>
  <c r="AB78" i="8"/>
  <c r="O42" i="5"/>
  <c r="O40" i="5" s="1"/>
  <c r="H94" i="8"/>
  <c r="AD85" i="8"/>
  <c r="V85" i="8"/>
  <c r="N94" i="8"/>
  <c r="K34" i="5"/>
  <c r="K33" i="5" s="1"/>
  <c r="AB34" i="5"/>
  <c r="AB33" i="5" s="1"/>
  <c r="J39" i="5"/>
  <c r="J37" i="5" s="1"/>
  <c r="Y39" i="5"/>
  <c r="Y37" i="5" s="1"/>
  <c r="AB41" i="5"/>
  <c r="AB40" i="5" s="1"/>
  <c r="T41" i="5"/>
  <c r="T40" i="5" s="1"/>
  <c r="L85" i="8"/>
  <c r="M94" i="8"/>
  <c r="AA34" i="5"/>
  <c r="AA33" i="5" s="1"/>
  <c r="Q39" i="5"/>
  <c r="Q37" i="5" s="1"/>
  <c r="I39" i="5"/>
  <c r="P40" i="5"/>
  <c r="AD35" i="5"/>
  <c r="R35" i="5"/>
  <c r="R17" i="5"/>
  <c r="AD17" i="5"/>
  <c r="AE21" i="9"/>
  <c r="F65" i="3"/>
  <c r="H65" i="3"/>
  <c r="G24" i="9" s="1"/>
  <c r="I65" i="3"/>
  <c r="H24" i="9" s="1"/>
  <c r="J65" i="3"/>
  <c r="I24" i="9" s="1"/>
  <c r="K65" i="3"/>
  <c r="J24" i="9" s="1"/>
  <c r="L65" i="3"/>
  <c r="K24" i="9" s="1"/>
  <c r="M65" i="3"/>
  <c r="L24" i="9" s="1"/>
  <c r="N65" i="3"/>
  <c r="M24" i="9" s="1"/>
  <c r="O65" i="3"/>
  <c r="N24" i="9" s="1"/>
  <c r="P65" i="3"/>
  <c r="O24" i="9" s="1"/>
  <c r="Q65" i="3"/>
  <c r="P24" i="9" s="1"/>
  <c r="R65" i="3"/>
  <c r="Q24" i="9" s="1"/>
  <c r="T65" i="3"/>
  <c r="S24" i="9" s="1"/>
  <c r="U65" i="3"/>
  <c r="T24" i="9" s="1"/>
  <c r="V65" i="3"/>
  <c r="U24" i="9" s="1"/>
  <c r="W65" i="3"/>
  <c r="V24" i="9" s="1"/>
  <c r="X65" i="3"/>
  <c r="W24" i="9" s="1"/>
  <c r="Y65" i="3"/>
  <c r="X24" i="9" s="1"/>
  <c r="Z65" i="3"/>
  <c r="Y24" i="9" s="1"/>
  <c r="AA65" i="3"/>
  <c r="Z24" i="9" s="1"/>
  <c r="AB65" i="3"/>
  <c r="AA24" i="9" s="1"/>
  <c r="AC65" i="3"/>
  <c r="AB24" i="9" s="1"/>
  <c r="AD65" i="3"/>
  <c r="AC24" i="9" s="1"/>
  <c r="AF65" i="3"/>
  <c r="H63" i="3"/>
  <c r="G23" i="9" s="1"/>
  <c r="I63" i="3"/>
  <c r="H23" i="9" s="1"/>
  <c r="J63" i="3"/>
  <c r="I23" i="9" s="1"/>
  <c r="K63" i="3"/>
  <c r="J23" i="9" s="1"/>
  <c r="L63" i="3"/>
  <c r="K23" i="9" s="1"/>
  <c r="M63" i="3"/>
  <c r="L23" i="9" s="1"/>
  <c r="N63" i="3"/>
  <c r="M23" i="9" s="1"/>
  <c r="O63" i="3"/>
  <c r="N23" i="9" s="1"/>
  <c r="P63" i="3"/>
  <c r="O23" i="9" s="1"/>
  <c r="Q63" i="3"/>
  <c r="P23" i="9" s="1"/>
  <c r="R63" i="3"/>
  <c r="Q23" i="9" s="1"/>
  <c r="T63" i="3"/>
  <c r="S23" i="9" s="1"/>
  <c r="U63" i="3"/>
  <c r="T23" i="9" s="1"/>
  <c r="V63" i="3"/>
  <c r="U23" i="9" s="1"/>
  <c r="W63" i="3"/>
  <c r="V23" i="9" s="1"/>
  <c r="X63" i="3"/>
  <c r="W23" i="9" s="1"/>
  <c r="Y63" i="3"/>
  <c r="X23" i="9" s="1"/>
  <c r="Z63" i="3"/>
  <c r="Y23" i="9" s="1"/>
  <c r="AA63" i="3"/>
  <c r="Z23" i="9" s="1"/>
  <c r="AB63" i="3"/>
  <c r="AA23" i="9" s="1"/>
  <c r="AC63" i="3"/>
  <c r="AB23" i="9" s="1"/>
  <c r="AD63" i="3"/>
  <c r="AC23" i="9" s="1"/>
  <c r="E63" i="3"/>
  <c r="U11" i="3"/>
  <c r="V11" i="3"/>
  <c r="U11" i="9" s="1"/>
  <c r="W11" i="3"/>
  <c r="V11" i="9" s="1"/>
  <c r="X11" i="3"/>
  <c r="W11" i="9" s="1"/>
  <c r="Y11" i="3"/>
  <c r="X11" i="9" s="1"/>
  <c r="Z11" i="3"/>
  <c r="Y11" i="9" s="1"/>
  <c r="AA11" i="3"/>
  <c r="Z11" i="9" s="1"/>
  <c r="AB11" i="3"/>
  <c r="AA11" i="9" s="1"/>
  <c r="AC11" i="3"/>
  <c r="AD11" i="3"/>
  <c r="AC11" i="9" s="1"/>
  <c r="T11" i="3"/>
  <c r="S11" i="9" s="1"/>
  <c r="I11" i="3"/>
  <c r="H11" i="9" s="1"/>
  <c r="J11" i="3"/>
  <c r="I11" i="9" s="1"/>
  <c r="K11" i="3"/>
  <c r="J11" i="9" s="1"/>
  <c r="L11" i="3"/>
  <c r="K11" i="9" s="1"/>
  <c r="M11" i="3"/>
  <c r="N11" i="3"/>
  <c r="M11" i="9" s="1"/>
  <c r="O11" i="3"/>
  <c r="N11" i="9" s="1"/>
  <c r="P11" i="3"/>
  <c r="O11" i="9" s="1"/>
  <c r="Q11" i="3"/>
  <c r="P11" i="9" s="1"/>
  <c r="R11" i="3"/>
  <c r="H11" i="3"/>
  <c r="G11" i="9" s="1"/>
  <c r="AE10" i="9"/>
  <c r="H51" i="3"/>
  <c r="G19" i="9" s="1"/>
  <c r="I51" i="3"/>
  <c r="H19" i="9" s="1"/>
  <c r="J51" i="3"/>
  <c r="I19" i="9" s="1"/>
  <c r="K51" i="3"/>
  <c r="J19" i="9" s="1"/>
  <c r="L51" i="3"/>
  <c r="K19" i="9" s="1"/>
  <c r="M51" i="3"/>
  <c r="L19" i="9" s="1"/>
  <c r="N51" i="3"/>
  <c r="M19" i="9" s="1"/>
  <c r="O51" i="3"/>
  <c r="N19" i="9" s="1"/>
  <c r="P51" i="3"/>
  <c r="O19" i="9" s="1"/>
  <c r="Q51" i="3"/>
  <c r="P19" i="9" s="1"/>
  <c r="R51" i="3"/>
  <c r="Q19" i="9" s="1"/>
  <c r="T51" i="3"/>
  <c r="S19" i="9" s="1"/>
  <c r="U51" i="3"/>
  <c r="T19" i="9" s="1"/>
  <c r="V51" i="3"/>
  <c r="U19" i="9" s="1"/>
  <c r="W51" i="3"/>
  <c r="V19" i="9" s="1"/>
  <c r="X51" i="3"/>
  <c r="W19" i="9" s="1"/>
  <c r="Y51" i="3"/>
  <c r="X19" i="9" s="1"/>
  <c r="Z51" i="3"/>
  <c r="Y19" i="9" s="1"/>
  <c r="AA51" i="3"/>
  <c r="Z19" i="9" s="1"/>
  <c r="AB51" i="3"/>
  <c r="AA19" i="9" s="1"/>
  <c r="AC51" i="3"/>
  <c r="AB19" i="9" s="1"/>
  <c r="AD51" i="3"/>
  <c r="AC19" i="9" s="1"/>
  <c r="E51" i="3"/>
  <c r="H43" i="3"/>
  <c r="G18" i="9" s="1"/>
  <c r="I43" i="3"/>
  <c r="H18" i="9" s="1"/>
  <c r="J43" i="3"/>
  <c r="I18" i="9" s="1"/>
  <c r="K43" i="3"/>
  <c r="J18" i="9" s="1"/>
  <c r="L43" i="3"/>
  <c r="K18" i="9" s="1"/>
  <c r="M43" i="3"/>
  <c r="L18" i="9" s="1"/>
  <c r="N43" i="3"/>
  <c r="M18" i="9" s="1"/>
  <c r="O43" i="3"/>
  <c r="N18" i="9" s="1"/>
  <c r="P43" i="3"/>
  <c r="O18" i="9" s="1"/>
  <c r="Q43" i="3"/>
  <c r="P18" i="9" s="1"/>
  <c r="R43" i="3"/>
  <c r="Q18" i="9" s="1"/>
  <c r="T43" i="3"/>
  <c r="S18" i="9" s="1"/>
  <c r="U43" i="3"/>
  <c r="T18" i="9" s="1"/>
  <c r="V43" i="3"/>
  <c r="U18" i="9" s="1"/>
  <c r="W43" i="3"/>
  <c r="V18" i="9" s="1"/>
  <c r="X43" i="3"/>
  <c r="W18" i="9" s="1"/>
  <c r="Y43" i="3"/>
  <c r="X18" i="9" s="1"/>
  <c r="Z43" i="3"/>
  <c r="Y18" i="9" s="1"/>
  <c r="AA43" i="3"/>
  <c r="Z18" i="9" s="1"/>
  <c r="AB43" i="3"/>
  <c r="AA18" i="9" s="1"/>
  <c r="AC43" i="3"/>
  <c r="AB18" i="9" s="1"/>
  <c r="AD43" i="3"/>
  <c r="AC18" i="9" s="1"/>
  <c r="F43" i="3"/>
  <c r="H39" i="3"/>
  <c r="G17" i="9" s="1"/>
  <c r="I39" i="3"/>
  <c r="H17" i="9" s="1"/>
  <c r="J39" i="3"/>
  <c r="I17" i="9" s="1"/>
  <c r="K39" i="3"/>
  <c r="J17" i="9" s="1"/>
  <c r="L39" i="3"/>
  <c r="K17" i="9" s="1"/>
  <c r="M39" i="3"/>
  <c r="L17" i="9" s="1"/>
  <c r="N39" i="3"/>
  <c r="M17" i="9" s="1"/>
  <c r="O39" i="3"/>
  <c r="N17" i="9" s="1"/>
  <c r="P39" i="3"/>
  <c r="O17" i="9" s="1"/>
  <c r="Q39" i="3"/>
  <c r="P17" i="9" s="1"/>
  <c r="R39" i="3"/>
  <c r="Q17" i="9" s="1"/>
  <c r="T39" i="3"/>
  <c r="S17" i="9" s="1"/>
  <c r="U39" i="3"/>
  <c r="T17" i="9" s="1"/>
  <c r="V39" i="3"/>
  <c r="U17" i="9" s="1"/>
  <c r="W39" i="3"/>
  <c r="V17" i="9" s="1"/>
  <c r="X39" i="3"/>
  <c r="W17" i="9" s="1"/>
  <c r="Y39" i="3"/>
  <c r="X17" i="9" s="1"/>
  <c r="Z39" i="3"/>
  <c r="Y17" i="9" s="1"/>
  <c r="AA39" i="3"/>
  <c r="Z17" i="9" s="1"/>
  <c r="AB39" i="3"/>
  <c r="AA17" i="9" s="1"/>
  <c r="AC39" i="3"/>
  <c r="AB17" i="9" s="1"/>
  <c r="AD39" i="3"/>
  <c r="AC17" i="9" s="1"/>
  <c r="AF39" i="3"/>
  <c r="E39" i="3"/>
  <c r="U37" i="3"/>
  <c r="T16" i="9" s="1"/>
  <c r="V37" i="3"/>
  <c r="W37" i="3"/>
  <c r="V16" i="9" s="1"/>
  <c r="X37" i="3"/>
  <c r="W16" i="9" s="1"/>
  <c r="Y37" i="3"/>
  <c r="X16" i="9" s="1"/>
  <c r="Z37" i="3"/>
  <c r="Y16" i="9" s="1"/>
  <c r="AA37" i="3"/>
  <c r="Z16" i="9" s="1"/>
  <c r="AB37" i="3"/>
  <c r="AA16" i="9" s="1"/>
  <c r="AC37" i="3"/>
  <c r="AB16" i="9" s="1"/>
  <c r="AD37" i="3"/>
  <c r="AC16" i="9" s="1"/>
  <c r="H37" i="3"/>
  <c r="G16" i="9" s="1"/>
  <c r="I37" i="3"/>
  <c r="H16" i="9" s="1"/>
  <c r="J37" i="3"/>
  <c r="I16" i="9" s="1"/>
  <c r="K37" i="3"/>
  <c r="J16" i="9" s="1"/>
  <c r="L37" i="3"/>
  <c r="K16" i="9" s="1"/>
  <c r="M37" i="3"/>
  <c r="L16" i="9" s="1"/>
  <c r="N37" i="3"/>
  <c r="M16" i="9" s="1"/>
  <c r="O37" i="3"/>
  <c r="N16" i="9" s="1"/>
  <c r="P37" i="3"/>
  <c r="O16" i="9" s="1"/>
  <c r="Q37" i="3"/>
  <c r="P16" i="9" s="1"/>
  <c r="R37" i="3"/>
  <c r="Q16" i="9" s="1"/>
  <c r="T37" i="3"/>
  <c r="S16" i="9" s="1"/>
  <c r="F37" i="3"/>
  <c r="H35" i="3"/>
  <c r="G15" i="9" s="1"/>
  <c r="I35" i="3"/>
  <c r="H15" i="9" s="1"/>
  <c r="J35" i="3"/>
  <c r="I15" i="9" s="1"/>
  <c r="K35" i="3"/>
  <c r="J15" i="9" s="1"/>
  <c r="L35" i="3"/>
  <c r="K15" i="9" s="1"/>
  <c r="M35" i="3"/>
  <c r="L15" i="9" s="1"/>
  <c r="N35" i="3"/>
  <c r="M15" i="9" s="1"/>
  <c r="O35" i="3"/>
  <c r="N15" i="9" s="1"/>
  <c r="P35" i="3"/>
  <c r="O15" i="9" s="1"/>
  <c r="Q35" i="3"/>
  <c r="P15" i="9" s="1"/>
  <c r="R35" i="3"/>
  <c r="Q15" i="9" s="1"/>
  <c r="T35" i="3"/>
  <c r="S15" i="9" s="1"/>
  <c r="U35" i="3"/>
  <c r="T15" i="9" s="1"/>
  <c r="V35" i="3"/>
  <c r="U15" i="9" s="1"/>
  <c r="W35" i="3"/>
  <c r="V15" i="9" s="1"/>
  <c r="X35" i="3"/>
  <c r="W15" i="9" s="1"/>
  <c r="Y35" i="3"/>
  <c r="X15" i="9" s="1"/>
  <c r="Z35" i="3"/>
  <c r="Y15" i="9" s="1"/>
  <c r="AA35" i="3"/>
  <c r="Z15" i="9" s="1"/>
  <c r="AB35" i="3"/>
  <c r="AA15" i="9" s="1"/>
  <c r="AC35" i="3"/>
  <c r="AB15" i="9" s="1"/>
  <c r="AD35" i="3"/>
  <c r="AC15" i="9" s="1"/>
  <c r="AE35" i="3"/>
  <c r="E35" i="3"/>
  <c r="H32" i="3"/>
  <c r="G14" i="9" s="1"/>
  <c r="I32" i="3"/>
  <c r="H14" i="9" s="1"/>
  <c r="J32" i="3"/>
  <c r="I14" i="9" s="1"/>
  <c r="K32" i="3"/>
  <c r="J14" i="9" s="1"/>
  <c r="L32" i="3"/>
  <c r="K14" i="9" s="1"/>
  <c r="M32" i="3"/>
  <c r="L14" i="9" s="1"/>
  <c r="N32" i="3"/>
  <c r="M14" i="9" s="1"/>
  <c r="O32" i="3"/>
  <c r="N14" i="9" s="1"/>
  <c r="P32" i="3"/>
  <c r="O14" i="9" s="1"/>
  <c r="Q32" i="3"/>
  <c r="P14" i="9" s="1"/>
  <c r="R32" i="3"/>
  <c r="Q14" i="9" s="1"/>
  <c r="T32" i="3"/>
  <c r="S14" i="9" s="1"/>
  <c r="U32" i="3"/>
  <c r="T14" i="9" s="1"/>
  <c r="V32" i="3"/>
  <c r="U14" i="9" s="1"/>
  <c r="W32" i="3"/>
  <c r="V14" i="9" s="1"/>
  <c r="X32" i="3"/>
  <c r="W14" i="9" s="1"/>
  <c r="Y32" i="3"/>
  <c r="X14" i="9" s="1"/>
  <c r="Z32" i="3"/>
  <c r="Y14" i="9" s="1"/>
  <c r="AA32" i="3"/>
  <c r="Z14" i="9" s="1"/>
  <c r="AB32" i="3"/>
  <c r="AA14" i="9" s="1"/>
  <c r="AC32" i="3"/>
  <c r="AB14" i="9" s="1"/>
  <c r="AD32" i="3"/>
  <c r="AC14" i="9" s="1"/>
  <c r="F32" i="3"/>
  <c r="V29" i="3"/>
  <c r="U13" i="9" s="1"/>
  <c r="W29" i="3"/>
  <c r="V13" i="9" s="1"/>
  <c r="X29" i="3"/>
  <c r="W13" i="9" s="1"/>
  <c r="Y29" i="3"/>
  <c r="X13" i="9" s="1"/>
  <c r="Z29" i="3"/>
  <c r="Y13" i="9" s="1"/>
  <c r="AA29" i="3"/>
  <c r="Z13" i="9" s="1"/>
  <c r="AB29" i="3"/>
  <c r="AA13" i="9" s="1"/>
  <c r="AC29" i="3"/>
  <c r="AB13" i="9" s="1"/>
  <c r="AD29" i="3"/>
  <c r="AC13" i="9" s="1"/>
  <c r="H29" i="3"/>
  <c r="G13" i="9" s="1"/>
  <c r="I29" i="3"/>
  <c r="H13" i="9" s="1"/>
  <c r="J29" i="3"/>
  <c r="I13" i="9" s="1"/>
  <c r="K29" i="3"/>
  <c r="J13" i="9" s="1"/>
  <c r="L29" i="3"/>
  <c r="K13" i="9" s="1"/>
  <c r="M29" i="3"/>
  <c r="L13" i="9" s="1"/>
  <c r="N29" i="3"/>
  <c r="M13" i="9" s="1"/>
  <c r="O29" i="3"/>
  <c r="N13" i="9" s="1"/>
  <c r="P29" i="3"/>
  <c r="O13" i="9" s="1"/>
  <c r="Q29" i="3"/>
  <c r="P13" i="9" s="1"/>
  <c r="R29" i="3"/>
  <c r="Q13" i="9" s="1"/>
  <c r="T29" i="3"/>
  <c r="S13" i="9" s="1"/>
  <c r="U29" i="3"/>
  <c r="T13" i="9" s="1"/>
  <c r="E29" i="3"/>
  <c r="AD20" i="3"/>
  <c r="AC12" i="9" s="1"/>
  <c r="AC20" i="3"/>
  <c r="AB12" i="9" s="1"/>
  <c r="AB20" i="3"/>
  <c r="AA12" i="9" s="1"/>
  <c r="AA20" i="3"/>
  <c r="Z12" i="9" s="1"/>
  <c r="Z20" i="3"/>
  <c r="Y12" i="9" s="1"/>
  <c r="Y20" i="3"/>
  <c r="X12" i="9" s="1"/>
  <c r="X20" i="3"/>
  <c r="W12" i="9" s="1"/>
  <c r="W20" i="3"/>
  <c r="V12" i="9" s="1"/>
  <c r="V20" i="3"/>
  <c r="U12" i="9" s="1"/>
  <c r="U20" i="3"/>
  <c r="T12" i="9" s="1"/>
  <c r="T20" i="3"/>
  <c r="S12" i="9" s="1"/>
  <c r="R20" i="3"/>
  <c r="Q12" i="9" s="1"/>
  <c r="Q20" i="3"/>
  <c r="P12" i="9" s="1"/>
  <c r="P20" i="3"/>
  <c r="O12" i="9" s="1"/>
  <c r="O20" i="3"/>
  <c r="N12" i="9" s="1"/>
  <c r="N20" i="3"/>
  <c r="M12" i="9" s="1"/>
  <c r="M20" i="3"/>
  <c r="L12" i="9" s="1"/>
  <c r="L20" i="3"/>
  <c r="K12" i="9" s="1"/>
  <c r="K20" i="3"/>
  <c r="J12" i="9" s="1"/>
  <c r="J20" i="3"/>
  <c r="I12" i="9" s="1"/>
  <c r="I20" i="3"/>
  <c r="H12" i="9" s="1"/>
  <c r="H20" i="3"/>
  <c r="F20" i="3"/>
  <c r="AF55" i="4"/>
  <c r="AF52" i="4" s="1"/>
  <c r="K56" i="4"/>
  <c r="L56" i="4"/>
  <c r="K27" i="10" s="1"/>
  <c r="M56" i="4"/>
  <c r="L27" i="10" s="1"/>
  <c r="L26" i="10" s="1"/>
  <c r="N56" i="4"/>
  <c r="M27" i="10" s="1"/>
  <c r="O56" i="4"/>
  <c r="N27" i="10" s="1"/>
  <c r="P56" i="4"/>
  <c r="O27" i="10" s="1"/>
  <c r="Q56" i="4"/>
  <c r="P27" i="10" s="1"/>
  <c r="R56" i="4"/>
  <c r="Q27" i="10" s="1"/>
  <c r="T56" i="4"/>
  <c r="S27" i="10" s="1"/>
  <c r="U56" i="4"/>
  <c r="T27" i="10" s="1"/>
  <c r="V56" i="4"/>
  <c r="U27" i="10" s="1"/>
  <c r="U26" i="10" s="1"/>
  <c r="W56" i="4"/>
  <c r="V27" i="10" s="1"/>
  <c r="X56" i="4"/>
  <c r="W27" i="10" s="1"/>
  <c r="Y56" i="4"/>
  <c r="Z56" i="4"/>
  <c r="AA56" i="4"/>
  <c r="AB56" i="4"/>
  <c r="AA27" i="10" s="1"/>
  <c r="AC56" i="4"/>
  <c r="AB27" i="10" s="1"/>
  <c r="AD56" i="4"/>
  <c r="F56" i="4"/>
  <c r="H56" i="4"/>
  <c r="G27" i="10" s="1"/>
  <c r="I56" i="4"/>
  <c r="H27" i="10" s="1"/>
  <c r="H26" i="10" s="1"/>
  <c r="J56" i="4"/>
  <c r="I27" i="10" s="1"/>
  <c r="I26" i="10" s="1"/>
  <c r="T58" i="4"/>
  <c r="U58" i="4"/>
  <c r="V58" i="4"/>
  <c r="W58" i="4"/>
  <c r="X58" i="4"/>
  <c r="Y58" i="4"/>
  <c r="Z58" i="4"/>
  <c r="AA58" i="4"/>
  <c r="AB58" i="4"/>
  <c r="AC58" i="4"/>
  <c r="AD58" i="4"/>
  <c r="E58" i="4"/>
  <c r="L165" i="21" l="1"/>
  <c r="L160" i="21" s="1"/>
  <c r="L159" i="21" s="1"/>
  <c r="L157" i="21" s="1"/>
  <c r="AD170" i="21"/>
  <c r="R170" i="21"/>
  <c r="I165" i="21"/>
  <c r="I160" i="21" s="1"/>
  <c r="I159" i="21" s="1"/>
  <c r="I157" i="21" s="1"/>
  <c r="U182" i="20"/>
  <c r="U177" i="20" s="1"/>
  <c r="U176" i="20" s="1"/>
  <c r="U174" i="20" s="1"/>
  <c r="U39" i="20" s="1"/>
  <c r="Y165" i="21"/>
  <c r="Y160" i="21" s="1"/>
  <c r="Y159" i="21" s="1"/>
  <c r="Y157" i="21" s="1"/>
  <c r="Y22" i="21" s="1"/>
  <c r="H165" i="21"/>
  <c r="H160" i="21" s="1"/>
  <c r="H159" i="21" s="1"/>
  <c r="H157" i="21" s="1"/>
  <c r="V182" i="20"/>
  <c r="V177" i="20" s="1"/>
  <c r="V176" i="20" s="1"/>
  <c r="V174" i="20" s="1"/>
  <c r="V39" i="20" s="1"/>
  <c r="Z165" i="21"/>
  <c r="Z160" i="21" s="1"/>
  <c r="Z159" i="21" s="1"/>
  <c r="Z157" i="21" s="1"/>
  <c r="Z22" i="21" s="1"/>
  <c r="G182" i="20"/>
  <c r="G177" i="20" s="1"/>
  <c r="G176" i="20" s="1"/>
  <c r="G174" i="20" s="1"/>
  <c r="R183" i="20"/>
  <c r="AD168" i="21"/>
  <c r="J182" i="20"/>
  <c r="J177" i="20" s="1"/>
  <c r="J176" i="20" s="1"/>
  <c r="J174" i="20" s="1"/>
  <c r="W182" i="20"/>
  <c r="W177" i="20" s="1"/>
  <c r="W176" i="20" s="1"/>
  <c r="W174" i="20" s="1"/>
  <c r="W39" i="20" s="1"/>
  <c r="AA165" i="21"/>
  <c r="AA160" i="21" s="1"/>
  <c r="AA159" i="21" s="1"/>
  <c r="AA157" i="21" s="1"/>
  <c r="AA22" i="21" s="1"/>
  <c r="AD186" i="20"/>
  <c r="O165" i="21"/>
  <c r="O160" i="21" s="1"/>
  <c r="O159" i="21" s="1"/>
  <c r="O157" i="21" s="1"/>
  <c r="T165" i="21"/>
  <c r="T160" i="21" s="1"/>
  <c r="T159" i="21" s="1"/>
  <c r="T157" i="21" s="1"/>
  <c r="T22" i="21" s="1"/>
  <c r="R187" i="20"/>
  <c r="U165" i="21"/>
  <c r="U160" i="21" s="1"/>
  <c r="U159" i="21" s="1"/>
  <c r="U157" i="21" s="1"/>
  <c r="U22" i="21" s="1"/>
  <c r="R167" i="21"/>
  <c r="Q165" i="21"/>
  <c r="Q160" i="21" s="1"/>
  <c r="Q159" i="21" s="1"/>
  <c r="Q157" i="21" s="1"/>
  <c r="Q22" i="21" s="1"/>
  <c r="V165" i="21"/>
  <c r="V160" i="21" s="1"/>
  <c r="V159" i="21" s="1"/>
  <c r="V157" i="21" s="1"/>
  <c r="V22" i="21" s="1"/>
  <c r="R185" i="20"/>
  <c r="S182" i="20"/>
  <c r="S177" i="20" s="1"/>
  <c r="S176" i="20" s="1"/>
  <c r="S174" i="20" s="1"/>
  <c r="S39" i="20" s="1"/>
  <c r="AD183" i="20"/>
  <c r="W165" i="21"/>
  <c r="W160" i="21" s="1"/>
  <c r="W159" i="21" s="1"/>
  <c r="W157" i="21" s="1"/>
  <c r="W22" i="21" s="1"/>
  <c r="AD169" i="21"/>
  <c r="R169" i="21"/>
  <c r="K165" i="21"/>
  <c r="K160" i="21" s="1"/>
  <c r="K159" i="21" s="1"/>
  <c r="K157" i="21" s="1"/>
  <c r="O182" i="20"/>
  <c r="O177" i="20" s="1"/>
  <c r="O176" i="20" s="1"/>
  <c r="O174" i="20" s="1"/>
  <c r="AB182" i="20"/>
  <c r="AB177" i="20" s="1"/>
  <c r="AB176" i="20" s="1"/>
  <c r="AB174" i="20" s="1"/>
  <c r="AB39" i="20" s="1"/>
  <c r="L182" i="20"/>
  <c r="L177" i="20" s="1"/>
  <c r="L176" i="20" s="1"/>
  <c r="L174" i="20" s="1"/>
  <c r="P165" i="21"/>
  <c r="P160" i="21" s="1"/>
  <c r="P159" i="21" s="1"/>
  <c r="P157" i="21" s="1"/>
  <c r="AC182" i="20"/>
  <c r="AC177" i="20" s="1"/>
  <c r="AC176" i="20" s="1"/>
  <c r="AC174" i="20" s="1"/>
  <c r="AC39" i="20" s="1"/>
  <c r="R184" i="20"/>
  <c r="AD184" i="20"/>
  <c r="M182" i="20"/>
  <c r="M177" i="20" s="1"/>
  <c r="M176" i="20" s="1"/>
  <c r="M174" i="20" s="1"/>
  <c r="Q182" i="20"/>
  <c r="Q177" i="20" s="1"/>
  <c r="Q176" i="20" s="1"/>
  <c r="Q174" i="20" s="1"/>
  <c r="Q39" i="20" s="1"/>
  <c r="R168" i="21"/>
  <c r="D168" i="21" s="1"/>
  <c r="F168" i="21" s="1"/>
  <c r="N165" i="21"/>
  <c r="N160" i="21" s="1"/>
  <c r="N159" i="21" s="1"/>
  <c r="N157" i="21" s="1"/>
  <c r="S165" i="21"/>
  <c r="S160" i="21" s="1"/>
  <c r="S159" i="21" s="1"/>
  <c r="S157" i="21" s="1"/>
  <c r="S22" i="21" s="1"/>
  <c r="AD166" i="21"/>
  <c r="G28" i="21"/>
  <c r="G27" i="21" s="1"/>
  <c r="G26" i="21" s="1"/>
  <c r="G24" i="21" s="1"/>
  <c r="R186" i="20"/>
  <c r="K182" i="20"/>
  <c r="K177" i="20" s="1"/>
  <c r="K176" i="20" s="1"/>
  <c r="K174" i="20" s="1"/>
  <c r="X182" i="20"/>
  <c r="X177" i="20" s="1"/>
  <c r="X176" i="20" s="1"/>
  <c r="X174" i="20" s="1"/>
  <c r="X39" i="20" s="1"/>
  <c r="AB165" i="21"/>
  <c r="AB160" i="21" s="1"/>
  <c r="AB159" i="21" s="1"/>
  <c r="AB157" i="21" s="1"/>
  <c r="AB22" i="21" s="1"/>
  <c r="Y182" i="20"/>
  <c r="Y177" i="20" s="1"/>
  <c r="Y176" i="20" s="1"/>
  <c r="Y174" i="20" s="1"/>
  <c r="Y39" i="20" s="1"/>
  <c r="AC165" i="21"/>
  <c r="AC160" i="21" s="1"/>
  <c r="AC159" i="21" s="1"/>
  <c r="AC157" i="21" s="1"/>
  <c r="AC22" i="21" s="1"/>
  <c r="AD167" i="21"/>
  <c r="H182" i="20"/>
  <c r="H177" i="20" s="1"/>
  <c r="H176" i="20" s="1"/>
  <c r="H174" i="20" s="1"/>
  <c r="M165" i="21"/>
  <c r="M160" i="21" s="1"/>
  <c r="M159" i="21" s="1"/>
  <c r="M157" i="21" s="1"/>
  <c r="Z182" i="20"/>
  <c r="Z177" i="20" s="1"/>
  <c r="Z176" i="20" s="1"/>
  <c r="Z174" i="20" s="1"/>
  <c r="Z39" i="20" s="1"/>
  <c r="R166" i="21"/>
  <c r="G165" i="21"/>
  <c r="G160" i="21" s="1"/>
  <c r="G159" i="21" s="1"/>
  <c r="G157" i="21" s="1"/>
  <c r="G22" i="21" s="1"/>
  <c r="AD185" i="20"/>
  <c r="J165" i="21"/>
  <c r="J160" i="21" s="1"/>
  <c r="J159" i="21" s="1"/>
  <c r="J157" i="21" s="1"/>
  <c r="N182" i="20"/>
  <c r="N177" i="20" s="1"/>
  <c r="N176" i="20" s="1"/>
  <c r="N174" i="20" s="1"/>
  <c r="AA182" i="20"/>
  <c r="AA177" i="20" s="1"/>
  <c r="AA176" i="20" s="1"/>
  <c r="AA174" i="20" s="1"/>
  <c r="AA39" i="20" s="1"/>
  <c r="G45" i="20"/>
  <c r="G44" i="20" s="1"/>
  <c r="G43" i="20" s="1"/>
  <c r="G41" i="20" s="1"/>
  <c r="G39" i="20" s="1"/>
  <c r="T182" i="20"/>
  <c r="T177" i="20" s="1"/>
  <c r="T176" i="20" s="1"/>
  <c r="T174" i="20" s="1"/>
  <c r="T39" i="20" s="1"/>
  <c r="X165" i="21"/>
  <c r="X160" i="21" s="1"/>
  <c r="X159" i="21" s="1"/>
  <c r="X157" i="21" s="1"/>
  <c r="X22" i="21" s="1"/>
  <c r="I46" i="1"/>
  <c r="AA26" i="10"/>
  <c r="V26" i="10"/>
  <c r="J46" i="1"/>
  <c r="K46" i="1"/>
  <c r="H10" i="3"/>
  <c r="R39" i="5"/>
  <c r="AD28" i="10"/>
  <c r="P26" i="10"/>
  <c r="AC55" i="4"/>
  <c r="U55" i="4"/>
  <c r="AD42" i="5"/>
  <c r="AD74" i="1"/>
  <c r="W26" i="10"/>
  <c r="N26" i="10"/>
  <c r="P55" i="4"/>
  <c r="H46" i="1"/>
  <c r="R50" i="1"/>
  <c r="G110" i="7"/>
  <c r="R61" i="1"/>
  <c r="AD55" i="4"/>
  <c r="Z55" i="4"/>
  <c r="K55" i="4"/>
  <c r="X55" i="4"/>
  <c r="M55" i="4"/>
  <c r="H55" i="4"/>
  <c r="Y27" i="10"/>
  <c r="Y26" i="10" s="1"/>
  <c r="G12" i="9"/>
  <c r="R12" i="9" s="1"/>
  <c r="AD61" i="1"/>
  <c r="I55" i="4"/>
  <c r="AB26" i="10"/>
  <c r="AA55" i="4"/>
  <c r="T26" i="10"/>
  <c r="Q26" i="10"/>
  <c r="O26" i="10"/>
  <c r="M26" i="10"/>
  <c r="AB55" i="4"/>
  <c r="W55" i="4"/>
  <c r="T55" i="4"/>
  <c r="O55" i="4"/>
  <c r="L55" i="4"/>
  <c r="K10" i="3"/>
  <c r="R14" i="9"/>
  <c r="V10" i="3"/>
  <c r="N10" i="3"/>
  <c r="R10" i="3"/>
  <c r="AD42" i="1"/>
  <c r="G41" i="1"/>
  <c r="G40" i="1" s="1"/>
  <c r="G38" i="1" s="1"/>
  <c r="R42" i="1"/>
  <c r="AD46" i="1"/>
  <c r="K26" i="10"/>
  <c r="S26" i="10"/>
  <c r="R24" i="9"/>
  <c r="N10" i="9"/>
  <c r="J10" i="9"/>
  <c r="AD24" i="9"/>
  <c r="R18" i="9"/>
  <c r="I10" i="9"/>
  <c r="Q55" i="4"/>
  <c r="Y55" i="4"/>
  <c r="X27" i="10"/>
  <c r="X26" i="10" s="1"/>
  <c r="Y10" i="9"/>
  <c r="R15" i="9"/>
  <c r="M10" i="9"/>
  <c r="R55" i="4"/>
  <c r="J55" i="4"/>
  <c r="J27" i="10"/>
  <c r="J26" i="10" s="1"/>
  <c r="P10" i="3"/>
  <c r="AB10" i="3"/>
  <c r="U16" i="9"/>
  <c r="AD16" i="9" s="1"/>
  <c r="R42" i="5"/>
  <c r="J10" i="3"/>
  <c r="AC27" i="10"/>
  <c r="AC26" i="10" s="1"/>
  <c r="Z27" i="10"/>
  <c r="Z26" i="10" s="1"/>
  <c r="G26" i="10"/>
  <c r="O10" i="3"/>
  <c r="AA10" i="3"/>
  <c r="Q11" i="9"/>
  <c r="Q10" i="9" s="1"/>
  <c r="AC10" i="3"/>
  <c r="U10" i="3"/>
  <c r="AD39" i="5"/>
  <c r="M10" i="3"/>
  <c r="X10" i="3"/>
  <c r="V55" i="4"/>
  <c r="N55" i="4"/>
  <c r="W10" i="3"/>
  <c r="AB11" i="9"/>
  <c r="AB10" i="9" s="1"/>
  <c r="T11" i="9"/>
  <c r="T10" i="9" s="1"/>
  <c r="I37" i="5"/>
  <c r="Y10" i="3"/>
  <c r="T10" i="3"/>
  <c r="L11" i="9"/>
  <c r="L10" i="9" s="1"/>
  <c r="Q10" i="3"/>
  <c r="I10" i="3"/>
  <c r="Z10" i="3"/>
  <c r="L10" i="3"/>
  <c r="AD10" i="3"/>
  <c r="E35" i="5"/>
  <c r="F35" i="5" s="1"/>
  <c r="E17" i="5"/>
  <c r="F17" i="5" s="1"/>
  <c r="Z10" i="9"/>
  <c r="V10" i="9"/>
  <c r="AD12" i="9"/>
  <c r="R13" i="9"/>
  <c r="R19" i="9"/>
  <c r="P10" i="9"/>
  <c r="R17" i="9"/>
  <c r="AD17" i="9"/>
  <c r="X10" i="9"/>
  <c r="AC10" i="9"/>
  <c r="AD15" i="9"/>
  <c r="H10" i="9"/>
  <c r="AD19" i="9"/>
  <c r="AD18" i="9"/>
  <c r="K10" i="9"/>
  <c r="R16" i="9"/>
  <c r="O10" i="9"/>
  <c r="AD14" i="9"/>
  <c r="AA10" i="9"/>
  <c r="W10" i="9"/>
  <c r="AD13" i="9"/>
  <c r="S10" i="9"/>
  <c r="E33" i="10"/>
  <c r="Y72" i="4"/>
  <c r="X34" i="10" s="1"/>
  <c r="Z72" i="4"/>
  <c r="Y34" i="10" s="1"/>
  <c r="AA72" i="4"/>
  <c r="Z34" i="10" s="1"/>
  <c r="AB72" i="4"/>
  <c r="AA34" i="10" s="1"/>
  <c r="AC72" i="4"/>
  <c r="AB34" i="10" s="1"/>
  <c r="AD72" i="4"/>
  <c r="AC34" i="10" s="1"/>
  <c r="AF72" i="4"/>
  <c r="AF71" i="4" s="1"/>
  <c r="T72" i="4"/>
  <c r="S34" i="10" s="1"/>
  <c r="U72" i="4"/>
  <c r="T34" i="10" s="1"/>
  <c r="V72" i="4"/>
  <c r="U34" i="10" s="1"/>
  <c r="W72" i="4"/>
  <c r="X72" i="4"/>
  <c r="W34" i="10" s="1"/>
  <c r="L72" i="4"/>
  <c r="K34" i="10" s="1"/>
  <c r="M72" i="4"/>
  <c r="L34" i="10" s="1"/>
  <c r="N72" i="4"/>
  <c r="M34" i="10" s="1"/>
  <c r="O72" i="4"/>
  <c r="N34" i="10" s="1"/>
  <c r="P72" i="4"/>
  <c r="O34" i="10" s="1"/>
  <c r="Q72" i="4"/>
  <c r="P34" i="10" s="1"/>
  <c r="R72" i="4"/>
  <c r="F72" i="4"/>
  <c r="H72" i="4"/>
  <c r="I72" i="4"/>
  <c r="H34" i="10" s="1"/>
  <c r="J72" i="4"/>
  <c r="I34" i="10" s="1"/>
  <c r="K72" i="4"/>
  <c r="J34" i="10" s="1"/>
  <c r="AA74" i="4"/>
  <c r="Z35" i="10" s="1"/>
  <c r="AB74" i="4"/>
  <c r="AA35" i="10" s="1"/>
  <c r="AC74" i="4"/>
  <c r="AB35" i="10" s="1"/>
  <c r="AD74" i="4"/>
  <c r="AC35" i="10" s="1"/>
  <c r="X74" i="4"/>
  <c r="W35" i="10" s="1"/>
  <c r="Y74" i="4"/>
  <c r="X35" i="10" s="1"/>
  <c r="Z74" i="4"/>
  <c r="F74" i="4"/>
  <c r="H74" i="4"/>
  <c r="G35" i="10" s="1"/>
  <c r="I74" i="4"/>
  <c r="H35" i="10" s="1"/>
  <c r="J74" i="4"/>
  <c r="I35" i="10" s="1"/>
  <c r="K74" i="4"/>
  <c r="J35" i="10" s="1"/>
  <c r="L74" i="4"/>
  <c r="K35" i="10" s="1"/>
  <c r="M74" i="4"/>
  <c r="L35" i="10" s="1"/>
  <c r="N74" i="4"/>
  <c r="M35" i="10" s="1"/>
  <c r="O74" i="4"/>
  <c r="P74" i="4"/>
  <c r="O35" i="10" s="1"/>
  <c r="Q74" i="4"/>
  <c r="P35" i="10" s="1"/>
  <c r="R74" i="4"/>
  <c r="Q35" i="10" s="1"/>
  <c r="T74" i="4"/>
  <c r="S35" i="10" s="1"/>
  <c r="U74" i="4"/>
  <c r="T35" i="10" s="1"/>
  <c r="V74" i="4"/>
  <c r="U35" i="10" s="1"/>
  <c r="W74" i="4"/>
  <c r="V35" i="10" s="1"/>
  <c r="AE20" i="10"/>
  <c r="D36" i="9"/>
  <c r="E29" i="9"/>
  <c r="AE41" i="4"/>
  <c r="S41" i="4"/>
  <c r="AE75" i="4"/>
  <c r="AE74" i="4" s="1"/>
  <c r="S75" i="4"/>
  <c r="S74" i="4" s="1"/>
  <c r="AE73" i="4"/>
  <c r="AE72" i="4" s="1"/>
  <c r="S73" i="4"/>
  <c r="S72" i="4" s="1"/>
  <c r="F26" i="4"/>
  <c r="H26" i="4"/>
  <c r="G15" i="10" s="1"/>
  <c r="I26" i="4"/>
  <c r="H15" i="10" s="1"/>
  <c r="J26" i="4"/>
  <c r="I15" i="10" s="1"/>
  <c r="K26" i="4"/>
  <c r="J15" i="10" s="1"/>
  <c r="L26" i="4"/>
  <c r="K15" i="10" s="1"/>
  <c r="M26" i="4"/>
  <c r="L15" i="10" s="1"/>
  <c r="N26" i="4"/>
  <c r="M15" i="10" s="1"/>
  <c r="O26" i="4"/>
  <c r="N15" i="10" s="1"/>
  <c r="P26" i="4"/>
  <c r="O15" i="10" s="1"/>
  <c r="Q26" i="4"/>
  <c r="P15" i="10" s="1"/>
  <c r="R26" i="4"/>
  <c r="Q15" i="10" s="1"/>
  <c r="T26" i="4"/>
  <c r="S15" i="10" s="1"/>
  <c r="U26" i="4"/>
  <c r="T15" i="10" s="1"/>
  <c r="V26" i="4"/>
  <c r="U15" i="10" s="1"/>
  <c r="W26" i="4"/>
  <c r="V15" i="10" s="1"/>
  <c r="X26" i="4"/>
  <c r="W15" i="10" s="1"/>
  <c r="Y26" i="4"/>
  <c r="X15" i="10" s="1"/>
  <c r="Z26" i="4"/>
  <c r="Y15" i="10" s="1"/>
  <c r="AA26" i="4"/>
  <c r="Z15" i="10" s="1"/>
  <c r="AB26" i="4"/>
  <c r="AA15" i="10" s="1"/>
  <c r="AC26" i="4"/>
  <c r="AB15" i="10" s="1"/>
  <c r="AD26" i="4"/>
  <c r="AC15" i="10" s="1"/>
  <c r="AE28" i="4"/>
  <c r="S28" i="4"/>
  <c r="AE27" i="4"/>
  <c r="S27" i="4"/>
  <c r="D169" i="21" l="1"/>
  <c r="F169" i="21" s="1"/>
  <c r="D167" i="21"/>
  <c r="F167" i="21" s="1"/>
  <c r="D166" i="21"/>
  <c r="R165" i="21"/>
  <c r="R160" i="21" s="1"/>
  <c r="R159" i="21" s="1"/>
  <c r="R157" i="21" s="1"/>
  <c r="AD165" i="21"/>
  <c r="AD160" i="21" s="1"/>
  <c r="AD159" i="21" s="1"/>
  <c r="AD157" i="21" s="1"/>
  <c r="AD22" i="21" s="1"/>
  <c r="R182" i="20"/>
  <c r="R177" i="20" s="1"/>
  <c r="R176" i="20" s="1"/>
  <c r="R174" i="20" s="1"/>
  <c r="AD182" i="20"/>
  <c r="AD177" i="20" s="1"/>
  <c r="AD176" i="20" s="1"/>
  <c r="AD174" i="20" s="1"/>
  <c r="AD39" i="20" s="1"/>
  <c r="D170" i="21"/>
  <c r="F170" i="21" s="1"/>
  <c r="Z71" i="4"/>
  <c r="AE71" i="4"/>
  <c r="S71" i="4"/>
  <c r="O71" i="4"/>
  <c r="E28" i="10"/>
  <c r="F28" i="10" s="1"/>
  <c r="D14" i="9"/>
  <c r="F14" i="9" s="1"/>
  <c r="U10" i="9"/>
  <c r="D18" i="9"/>
  <c r="F18" i="9" s="1"/>
  <c r="E39" i="5"/>
  <c r="E37" i="5" s="1"/>
  <c r="R46" i="1"/>
  <c r="I71" i="4"/>
  <c r="E42" i="5"/>
  <c r="F42" i="5" s="1"/>
  <c r="I33" i="10"/>
  <c r="W71" i="4"/>
  <c r="X71" i="4"/>
  <c r="AA71" i="4"/>
  <c r="H33" i="10"/>
  <c r="F71" i="4"/>
  <c r="L33" i="10"/>
  <c r="V71" i="4"/>
  <c r="X33" i="10"/>
  <c r="Q71" i="4"/>
  <c r="N35" i="10"/>
  <c r="R35" i="10" s="1"/>
  <c r="G10" i="9"/>
  <c r="D16" i="9"/>
  <c r="F16" i="9" s="1"/>
  <c r="D24" i="9"/>
  <c r="F24" i="9" s="1"/>
  <c r="S33" i="10"/>
  <c r="AA33" i="10"/>
  <c r="K33" i="10"/>
  <c r="T33" i="10"/>
  <c r="M33" i="10"/>
  <c r="P33" i="10"/>
  <c r="W33" i="10"/>
  <c r="H71" i="4"/>
  <c r="P71" i="4"/>
  <c r="O33" i="10"/>
  <c r="V34" i="10"/>
  <c r="V33" i="10" s="1"/>
  <c r="Y35" i="10"/>
  <c r="Y33" i="10" s="1"/>
  <c r="AD27" i="10"/>
  <c r="AD26" i="10" s="1"/>
  <c r="AC33" i="10"/>
  <c r="N71" i="4"/>
  <c r="AC71" i="4"/>
  <c r="AD71" i="4"/>
  <c r="M71" i="4"/>
  <c r="U71" i="4"/>
  <c r="Y71" i="4"/>
  <c r="AB71" i="4"/>
  <c r="L71" i="4"/>
  <c r="T71" i="4"/>
  <c r="Z33" i="10"/>
  <c r="R27" i="10"/>
  <c r="R26" i="10" s="1"/>
  <c r="K71" i="4"/>
  <c r="G34" i="10"/>
  <c r="G33" i="10" s="1"/>
  <c r="U33" i="10"/>
  <c r="AE26" i="4"/>
  <c r="J71" i="4"/>
  <c r="R71" i="4"/>
  <c r="Q34" i="10"/>
  <c r="Q33" i="10" s="1"/>
  <c r="D12" i="9"/>
  <c r="F12" i="9" s="1"/>
  <c r="J33" i="10"/>
  <c r="AB33" i="10"/>
  <c r="S26" i="4"/>
  <c r="R15" i="10"/>
  <c r="AD15" i="10"/>
  <c r="E41" i="4"/>
  <c r="G41" i="4" s="1"/>
  <c r="E75" i="4"/>
  <c r="E73" i="4"/>
  <c r="E72" i="4" s="1"/>
  <c r="E28" i="4"/>
  <c r="G28" i="4" s="1"/>
  <c r="E27" i="4"/>
  <c r="F166" i="21" l="1"/>
  <c r="D165" i="21"/>
  <c r="N33" i="10"/>
  <c r="E40" i="5"/>
  <c r="F39" i="5"/>
  <c r="G75" i="4"/>
  <c r="G74" i="4" s="1"/>
  <c r="E74" i="4"/>
  <c r="E71" i="4" s="1"/>
  <c r="R34" i="10"/>
  <c r="R33" i="10" s="1"/>
  <c r="AD35" i="10"/>
  <c r="D35" i="10" s="1"/>
  <c r="F35" i="10" s="1"/>
  <c r="AD34" i="10"/>
  <c r="D15" i="10"/>
  <c r="F15" i="10" s="1"/>
  <c r="E26" i="4"/>
  <c r="G27" i="4"/>
  <c r="G26" i="4" s="1"/>
  <c r="G73" i="4"/>
  <c r="G72" i="4" s="1"/>
  <c r="F165" i="21" l="1"/>
  <c r="D160" i="21"/>
  <c r="G71" i="4"/>
  <c r="AD33" i="10"/>
  <c r="D34" i="10"/>
  <c r="F34" i="10" s="1"/>
  <c r="F33" i="10" s="1"/>
  <c r="AE34" i="4"/>
  <c r="AE13" i="4"/>
  <c r="AE14" i="4"/>
  <c r="F11" i="4"/>
  <c r="H11" i="4"/>
  <c r="I11" i="4"/>
  <c r="J11" i="4"/>
  <c r="K11" i="4"/>
  <c r="L11" i="4"/>
  <c r="M11" i="4"/>
  <c r="N11" i="4"/>
  <c r="O11" i="4"/>
  <c r="P11" i="4"/>
  <c r="Q11" i="4"/>
  <c r="R11" i="4"/>
  <c r="T11" i="4"/>
  <c r="U11" i="4"/>
  <c r="V11" i="4"/>
  <c r="W11" i="4"/>
  <c r="X11" i="4"/>
  <c r="Y11" i="4"/>
  <c r="Z11" i="4"/>
  <c r="AA11" i="4"/>
  <c r="AB11" i="4"/>
  <c r="AC11" i="4"/>
  <c r="AD11" i="4"/>
  <c r="F31" i="4"/>
  <c r="H31" i="4"/>
  <c r="G18" i="10" s="1"/>
  <c r="I31" i="4"/>
  <c r="H18" i="10" s="1"/>
  <c r="J31" i="4"/>
  <c r="I18" i="10" s="1"/>
  <c r="K31" i="4"/>
  <c r="J18" i="10" s="1"/>
  <c r="L31" i="4"/>
  <c r="K18" i="10" s="1"/>
  <c r="M31" i="4"/>
  <c r="L18" i="10" s="1"/>
  <c r="N31" i="4"/>
  <c r="M18" i="10" s="1"/>
  <c r="O31" i="4"/>
  <c r="N18" i="10" s="1"/>
  <c r="P31" i="4"/>
  <c r="O18" i="10" s="1"/>
  <c r="Q31" i="4"/>
  <c r="P18" i="10" s="1"/>
  <c r="R31" i="4"/>
  <c r="Q18" i="10" s="1"/>
  <c r="T31" i="4"/>
  <c r="S18" i="10" s="1"/>
  <c r="U31" i="4"/>
  <c r="T18" i="10" s="1"/>
  <c r="V31" i="4"/>
  <c r="U18" i="10" s="1"/>
  <c r="W31" i="4"/>
  <c r="V18" i="10" s="1"/>
  <c r="X31" i="4"/>
  <c r="W18" i="10" s="1"/>
  <c r="Y31" i="4"/>
  <c r="X18" i="10" s="1"/>
  <c r="Z31" i="4"/>
  <c r="Y18" i="10" s="1"/>
  <c r="AA31" i="4"/>
  <c r="Z18" i="10" s="1"/>
  <c r="AB31" i="4"/>
  <c r="AA18" i="10" s="1"/>
  <c r="AC31" i="4"/>
  <c r="AB18" i="10" s="1"/>
  <c r="AD31" i="4"/>
  <c r="AC18" i="10" s="1"/>
  <c r="AE32" i="4"/>
  <c r="S32" i="4"/>
  <c r="AE12" i="4"/>
  <c r="S12" i="4"/>
  <c r="S34" i="4"/>
  <c r="AE33" i="4"/>
  <c r="S33" i="4"/>
  <c r="S14" i="4"/>
  <c r="F69" i="4"/>
  <c r="H69" i="4"/>
  <c r="G32" i="10" s="1"/>
  <c r="I69" i="4"/>
  <c r="H32" i="10" s="1"/>
  <c r="J69" i="4"/>
  <c r="I32" i="10" s="1"/>
  <c r="K69" i="4"/>
  <c r="J32" i="10" s="1"/>
  <c r="L69" i="4"/>
  <c r="K32" i="10" s="1"/>
  <c r="M69" i="4"/>
  <c r="L32" i="10" s="1"/>
  <c r="N69" i="4"/>
  <c r="M32" i="10" s="1"/>
  <c r="O69" i="4"/>
  <c r="P69" i="4"/>
  <c r="O32" i="10" s="1"/>
  <c r="Q69" i="4"/>
  <c r="P32" i="10" s="1"/>
  <c r="R69" i="4"/>
  <c r="Q32" i="10" s="1"/>
  <c r="T69" i="4"/>
  <c r="S32" i="10" s="1"/>
  <c r="U69" i="4"/>
  <c r="T32" i="10" s="1"/>
  <c r="V69" i="4"/>
  <c r="U32" i="10" s="1"/>
  <c r="W69" i="4"/>
  <c r="V32" i="10" s="1"/>
  <c r="X69" i="4"/>
  <c r="W32" i="10" s="1"/>
  <c r="Y69" i="4"/>
  <c r="X32" i="10" s="1"/>
  <c r="Z69" i="4"/>
  <c r="Y32" i="10" s="1"/>
  <c r="AA69" i="4"/>
  <c r="Z32" i="10" s="1"/>
  <c r="AB69" i="4"/>
  <c r="AA32" i="10" s="1"/>
  <c r="AC69" i="4"/>
  <c r="AB32" i="10" s="1"/>
  <c r="AD69" i="4"/>
  <c r="AC32" i="10" s="1"/>
  <c r="H66" i="4"/>
  <c r="G31" i="10" s="1"/>
  <c r="I66" i="4"/>
  <c r="H31" i="10" s="1"/>
  <c r="J66" i="4"/>
  <c r="I31" i="10" s="1"/>
  <c r="K66" i="4"/>
  <c r="J31" i="10" s="1"/>
  <c r="L66" i="4"/>
  <c r="K31" i="10" s="1"/>
  <c r="M66" i="4"/>
  <c r="L31" i="10" s="1"/>
  <c r="N66" i="4"/>
  <c r="M31" i="10" s="1"/>
  <c r="O66" i="4"/>
  <c r="N31" i="10" s="1"/>
  <c r="P66" i="4"/>
  <c r="O31" i="10" s="1"/>
  <c r="Q66" i="4"/>
  <c r="P31" i="10" s="1"/>
  <c r="R66" i="4"/>
  <c r="Q31" i="10" s="1"/>
  <c r="T66" i="4"/>
  <c r="S31" i="10" s="1"/>
  <c r="U66" i="4"/>
  <c r="T31" i="10" s="1"/>
  <c r="V66" i="4"/>
  <c r="U31" i="10" s="1"/>
  <c r="W66" i="4"/>
  <c r="V31" i="10" s="1"/>
  <c r="X66" i="4"/>
  <c r="W31" i="10" s="1"/>
  <c r="Y66" i="4"/>
  <c r="X31" i="10" s="1"/>
  <c r="Z66" i="4"/>
  <c r="Y31" i="10" s="1"/>
  <c r="AA66" i="4"/>
  <c r="Z31" i="10" s="1"/>
  <c r="AB66" i="4"/>
  <c r="AA31" i="10" s="1"/>
  <c r="AC66" i="4"/>
  <c r="AB31" i="10" s="1"/>
  <c r="AD66" i="4"/>
  <c r="AC31" i="10" s="1"/>
  <c r="E66" i="4"/>
  <c r="F61" i="4"/>
  <c r="H61" i="4"/>
  <c r="G30" i="10" s="1"/>
  <c r="I61" i="4"/>
  <c r="H30" i="10" s="1"/>
  <c r="J61" i="4"/>
  <c r="K61" i="4"/>
  <c r="J30" i="10" s="1"/>
  <c r="L61" i="4"/>
  <c r="K30" i="10" s="1"/>
  <c r="M61" i="4"/>
  <c r="L30" i="10" s="1"/>
  <c r="N61" i="4"/>
  <c r="O61" i="4"/>
  <c r="N30" i="10" s="1"/>
  <c r="P61" i="4"/>
  <c r="O30" i="10" s="1"/>
  <c r="Q61" i="4"/>
  <c r="P30" i="10" s="1"/>
  <c r="R61" i="4"/>
  <c r="T61" i="4"/>
  <c r="S30" i="10" s="1"/>
  <c r="U61" i="4"/>
  <c r="T30" i="10" s="1"/>
  <c r="V61" i="4"/>
  <c r="W61" i="4"/>
  <c r="X61" i="4"/>
  <c r="W30" i="10" s="1"/>
  <c r="Y61" i="4"/>
  <c r="X30" i="10" s="1"/>
  <c r="Z61" i="4"/>
  <c r="AA61" i="4"/>
  <c r="AB61" i="4"/>
  <c r="AA30" i="10" s="1"/>
  <c r="AC61" i="4"/>
  <c r="AB30" i="10" s="1"/>
  <c r="AD61" i="4"/>
  <c r="AE64" i="4"/>
  <c r="S64" i="4"/>
  <c r="F160" i="21" l="1"/>
  <c r="F159" i="21" s="1"/>
  <c r="F157" i="21" s="1"/>
  <c r="D159" i="21"/>
  <c r="D157" i="21" s="1"/>
  <c r="P29" i="10"/>
  <c r="H29" i="10"/>
  <c r="O29" i="10"/>
  <c r="X29" i="10"/>
  <c r="N60" i="4"/>
  <c r="M30" i="10"/>
  <c r="M29" i="10" s="1"/>
  <c r="V60" i="4"/>
  <c r="U30" i="10"/>
  <c r="U29" i="10" s="1"/>
  <c r="AB29" i="10"/>
  <c r="T29" i="10"/>
  <c r="K29" i="10"/>
  <c r="AD18" i="10"/>
  <c r="Z11" i="10"/>
  <c r="Q11" i="10"/>
  <c r="I11" i="10"/>
  <c r="S11" i="10"/>
  <c r="S29" i="10"/>
  <c r="J29" i="10"/>
  <c r="AD31" i="10"/>
  <c r="Y11" i="10"/>
  <c r="P11" i="10"/>
  <c r="H11" i="10"/>
  <c r="AD60" i="4"/>
  <c r="AC30" i="10"/>
  <c r="AC29" i="10" s="1"/>
  <c r="AD32" i="10"/>
  <c r="AA11" i="10"/>
  <c r="J11" i="10"/>
  <c r="AA29" i="10"/>
  <c r="AA60" i="4"/>
  <c r="Z30" i="10"/>
  <c r="Z29" i="10" s="1"/>
  <c r="R60" i="4"/>
  <c r="Q30" i="10"/>
  <c r="Q29" i="10" s="1"/>
  <c r="J60" i="4"/>
  <c r="I30" i="10"/>
  <c r="I29" i="10" s="1"/>
  <c r="X11" i="10"/>
  <c r="O11" i="10"/>
  <c r="G11" i="10"/>
  <c r="L29" i="10"/>
  <c r="R18" i="10"/>
  <c r="W11" i="10"/>
  <c r="N11" i="10"/>
  <c r="W60" i="4"/>
  <c r="V30" i="10"/>
  <c r="V29" i="10" s="1"/>
  <c r="G29" i="10"/>
  <c r="R31" i="10"/>
  <c r="V11" i="10"/>
  <c r="M11" i="10"/>
  <c r="D33" i="10"/>
  <c r="Z60" i="4"/>
  <c r="Y30" i="10"/>
  <c r="Y29" i="10" s="1"/>
  <c r="O60" i="4"/>
  <c r="N32" i="10"/>
  <c r="R32" i="10" s="1"/>
  <c r="W29" i="10"/>
  <c r="AC11" i="10"/>
  <c r="U11" i="10"/>
  <c r="L11" i="10"/>
  <c r="AB11" i="10"/>
  <c r="T11" i="10"/>
  <c r="K11" i="10"/>
  <c r="K60" i="4"/>
  <c r="M60" i="4"/>
  <c r="L60" i="4"/>
  <c r="AC60" i="4"/>
  <c r="U60" i="4"/>
  <c r="AB60" i="4"/>
  <c r="T60" i="4"/>
  <c r="E14" i="4"/>
  <c r="G14" i="4" s="1"/>
  <c r="E33" i="4"/>
  <c r="G33" i="4" s="1"/>
  <c r="I60" i="4"/>
  <c r="P60" i="4"/>
  <c r="H60" i="4"/>
  <c r="Y60" i="4"/>
  <c r="Q60" i="4"/>
  <c r="X60" i="4"/>
  <c r="E12" i="4"/>
  <c r="G12" i="4" s="1"/>
  <c r="E34" i="4"/>
  <c r="G34" i="4" s="1"/>
  <c r="E32" i="4"/>
  <c r="G32" i="4" s="1"/>
  <c r="E64" i="4"/>
  <c r="G64" i="4" s="1"/>
  <c r="R30" i="10" l="1"/>
  <c r="R29" i="10" s="1"/>
  <c r="N29" i="10"/>
  <c r="D18" i="10"/>
  <c r="AD30" i="10"/>
  <c r="AD29" i="10" s="1"/>
  <c r="AD11" i="10"/>
  <c r="R11" i="10"/>
  <c r="D32" i="10"/>
  <c r="F32" i="10" s="1"/>
  <c r="E31" i="10"/>
  <c r="F46" i="4"/>
  <c r="H46" i="4"/>
  <c r="G21" i="10" s="1"/>
  <c r="I46" i="4"/>
  <c r="H21" i="10" s="1"/>
  <c r="J46" i="4"/>
  <c r="I21" i="10" s="1"/>
  <c r="K46" i="4"/>
  <c r="J21" i="10" s="1"/>
  <c r="L46" i="4"/>
  <c r="K21" i="10" s="1"/>
  <c r="M46" i="4"/>
  <c r="L21" i="10" s="1"/>
  <c r="N46" i="4"/>
  <c r="M21" i="10" s="1"/>
  <c r="O46" i="4"/>
  <c r="N21" i="10" s="1"/>
  <c r="P46" i="4"/>
  <c r="O21" i="10" s="1"/>
  <c r="Q46" i="4"/>
  <c r="P21" i="10" s="1"/>
  <c r="R46" i="4"/>
  <c r="Q21" i="10" s="1"/>
  <c r="T46" i="4"/>
  <c r="S21" i="10" s="1"/>
  <c r="U46" i="4"/>
  <c r="T21" i="10" s="1"/>
  <c r="V46" i="4"/>
  <c r="U21" i="10" s="1"/>
  <c r="W46" i="4"/>
  <c r="V21" i="10" s="1"/>
  <c r="X46" i="4"/>
  <c r="W21" i="10" s="1"/>
  <c r="Y46" i="4"/>
  <c r="X21" i="10" s="1"/>
  <c r="Z46" i="4"/>
  <c r="Y21" i="10" s="1"/>
  <c r="AA46" i="4"/>
  <c r="Z21" i="10" s="1"/>
  <c r="AB46" i="4"/>
  <c r="AA21" i="10" s="1"/>
  <c r="AC46" i="4"/>
  <c r="AB21" i="10" s="1"/>
  <c r="AD46" i="4"/>
  <c r="AC21" i="10" s="1"/>
  <c r="AE48" i="4"/>
  <c r="S48" i="4"/>
  <c r="AE47" i="4"/>
  <c r="S47" i="4"/>
  <c r="G20" i="10"/>
  <c r="H20" i="10"/>
  <c r="I20" i="10"/>
  <c r="J20" i="10"/>
  <c r="K20" i="10"/>
  <c r="L20" i="10"/>
  <c r="M20" i="10"/>
  <c r="N20" i="10"/>
  <c r="O20" i="10"/>
  <c r="P20" i="10"/>
  <c r="Q20" i="10"/>
  <c r="S20" i="10"/>
  <c r="T20" i="10"/>
  <c r="U20" i="10"/>
  <c r="V20" i="10"/>
  <c r="W20" i="10"/>
  <c r="X20" i="10"/>
  <c r="Y20" i="10"/>
  <c r="Z20" i="10"/>
  <c r="AA20" i="10"/>
  <c r="AB20" i="10"/>
  <c r="AC20" i="10"/>
  <c r="F37" i="4"/>
  <c r="H37" i="4"/>
  <c r="G19" i="10" s="1"/>
  <c r="I37" i="4"/>
  <c r="H19" i="10" s="1"/>
  <c r="J37" i="4"/>
  <c r="K37" i="4"/>
  <c r="J19" i="10" s="1"/>
  <c r="L37" i="4"/>
  <c r="K19" i="10" s="1"/>
  <c r="M37" i="4"/>
  <c r="L19" i="10" s="1"/>
  <c r="N37" i="4"/>
  <c r="O37" i="4"/>
  <c r="N19" i="10" s="1"/>
  <c r="P37" i="4"/>
  <c r="O19" i="10" s="1"/>
  <c r="Q37" i="4"/>
  <c r="P19" i="10" s="1"/>
  <c r="R37" i="4"/>
  <c r="T37" i="4"/>
  <c r="S19" i="10" s="1"/>
  <c r="U37" i="4"/>
  <c r="T19" i="10" s="1"/>
  <c r="V37" i="4"/>
  <c r="W37" i="4"/>
  <c r="V19" i="10" s="1"/>
  <c r="X37" i="4"/>
  <c r="W19" i="10" s="1"/>
  <c r="Y37" i="4"/>
  <c r="X19" i="10" s="1"/>
  <c r="Z37" i="4"/>
  <c r="AA37" i="4"/>
  <c r="Z19" i="10" s="1"/>
  <c r="AB37" i="4"/>
  <c r="AA19" i="10" s="1"/>
  <c r="AC37" i="4"/>
  <c r="AB19" i="10" s="1"/>
  <c r="AD37" i="4"/>
  <c r="AC19" i="10" s="1"/>
  <c r="AE40" i="4"/>
  <c r="AE42" i="4"/>
  <c r="AE39" i="4"/>
  <c r="S40" i="4"/>
  <c r="S42" i="4"/>
  <c r="S39" i="4"/>
  <c r="W17" i="10" l="1"/>
  <c r="AA17" i="10"/>
  <c r="N17" i="10"/>
  <c r="Z17" i="10"/>
  <c r="V17" i="10"/>
  <c r="J17" i="10"/>
  <c r="AB17" i="10"/>
  <c r="T17" i="10"/>
  <c r="K17" i="10"/>
  <c r="P17" i="10"/>
  <c r="X17" i="10"/>
  <c r="O17" i="10"/>
  <c r="AD20" i="10"/>
  <c r="H17" i="10"/>
  <c r="R30" i="4"/>
  <c r="Q19" i="10"/>
  <c r="Q17" i="10" s="1"/>
  <c r="J30" i="4"/>
  <c r="I19" i="10"/>
  <c r="I17" i="10" s="1"/>
  <c r="F31" i="10"/>
  <c r="E29" i="10"/>
  <c r="AD21" i="10"/>
  <c r="D11" i="10"/>
  <c r="F18" i="10"/>
  <c r="Z30" i="4"/>
  <c r="Y19" i="10"/>
  <c r="Y17" i="10" s="1"/>
  <c r="G17" i="10"/>
  <c r="R20" i="10"/>
  <c r="N30" i="4"/>
  <c r="M19" i="10"/>
  <c r="M17" i="10" s="1"/>
  <c r="R21" i="10"/>
  <c r="AC17" i="10"/>
  <c r="V30" i="4"/>
  <c r="U19" i="10"/>
  <c r="U17" i="10" s="1"/>
  <c r="L17" i="10"/>
  <c r="D30" i="10"/>
  <c r="S17" i="10"/>
  <c r="E48" i="4"/>
  <c r="G48" i="4" s="1"/>
  <c r="AD30" i="4"/>
  <c r="I30" i="4"/>
  <c r="AC30" i="4"/>
  <c r="Y30" i="4"/>
  <c r="U30" i="4"/>
  <c r="P30" i="4"/>
  <c r="L30" i="4"/>
  <c r="H30" i="4"/>
  <c r="AA30" i="4"/>
  <c r="Q30" i="4"/>
  <c r="M30" i="4"/>
  <c r="AB30" i="4"/>
  <c r="X30" i="4"/>
  <c r="T30" i="4"/>
  <c r="O30" i="4"/>
  <c r="K30" i="4"/>
  <c r="W30" i="4"/>
  <c r="AE36" i="4"/>
  <c r="S36" i="4"/>
  <c r="D21" i="10" l="1"/>
  <c r="F21" i="10" s="1"/>
  <c r="E20" i="10"/>
  <c r="E17" i="10" s="1"/>
  <c r="R19" i="10"/>
  <c r="F30" i="10"/>
  <c r="F29" i="10" s="1"/>
  <c r="D29" i="10"/>
  <c r="F11" i="10"/>
  <c r="AD19" i="10"/>
  <c r="AD17" i="10" s="1"/>
  <c r="E47" i="4"/>
  <c r="E40" i="4"/>
  <c r="D19" i="10" l="1"/>
  <c r="F19" i="10" s="1"/>
  <c r="F20" i="10"/>
  <c r="R17" i="10"/>
  <c r="G47" i="4"/>
  <c r="G40" i="4"/>
  <c r="AE38" i="4"/>
  <c r="AE37" i="4" s="1"/>
  <c r="S38" i="4"/>
  <c r="S37" i="4" s="1"/>
  <c r="E39" i="4"/>
  <c r="G39" i="4" s="1"/>
  <c r="E36" i="4"/>
  <c r="G36" i="4" s="1"/>
  <c r="D17" i="10" l="1"/>
  <c r="F17" i="10"/>
  <c r="E38" i="4"/>
  <c r="G38" i="4" l="1"/>
  <c r="AE70" i="4"/>
  <c r="AE69" i="4" s="1"/>
  <c r="S70" i="4"/>
  <c r="S69" i="4" s="1"/>
  <c r="AE68" i="4"/>
  <c r="S68" i="4"/>
  <c r="AE67" i="4"/>
  <c r="S67" i="4"/>
  <c r="AE49" i="4"/>
  <c r="AE46" i="4" s="1"/>
  <c r="S49" i="4"/>
  <c r="S46" i="4" s="1"/>
  <c r="AE45" i="4"/>
  <c r="AE43" i="4" s="1"/>
  <c r="S45" i="4"/>
  <c r="S43" i="4" s="1"/>
  <c r="E23" i="4"/>
  <c r="E21" i="4"/>
  <c r="H23" i="4"/>
  <c r="G14" i="10" s="1"/>
  <c r="I23" i="4"/>
  <c r="H14" i="10" s="1"/>
  <c r="J23" i="4"/>
  <c r="I14" i="10" s="1"/>
  <c r="K23" i="4"/>
  <c r="J14" i="10" s="1"/>
  <c r="L23" i="4"/>
  <c r="K14" i="10" s="1"/>
  <c r="M23" i="4"/>
  <c r="L14" i="10" s="1"/>
  <c r="N23" i="4"/>
  <c r="M14" i="10" s="1"/>
  <c r="O23" i="4"/>
  <c r="N14" i="10" s="1"/>
  <c r="P23" i="4"/>
  <c r="O14" i="10" s="1"/>
  <c r="Q23" i="4"/>
  <c r="P14" i="10" s="1"/>
  <c r="R23" i="4"/>
  <c r="Q14" i="10" s="1"/>
  <c r="T23" i="4"/>
  <c r="S14" i="10" s="1"/>
  <c r="U23" i="4"/>
  <c r="T14" i="10" s="1"/>
  <c r="V23" i="4"/>
  <c r="U14" i="10" s="1"/>
  <c r="W23" i="4"/>
  <c r="V14" i="10" s="1"/>
  <c r="X23" i="4"/>
  <c r="W14" i="10" s="1"/>
  <c r="Y23" i="4"/>
  <c r="X14" i="10" s="1"/>
  <c r="Z23" i="4"/>
  <c r="Y14" i="10" s="1"/>
  <c r="AA23" i="4"/>
  <c r="Z14" i="10" s="1"/>
  <c r="AB23" i="4"/>
  <c r="AA14" i="10" s="1"/>
  <c r="AC23" i="4"/>
  <c r="AB14" i="10" s="1"/>
  <c r="AD23" i="4"/>
  <c r="AC14" i="10" s="1"/>
  <c r="H21" i="4"/>
  <c r="G13" i="10" s="1"/>
  <c r="I21" i="4"/>
  <c r="H13" i="10" s="1"/>
  <c r="J21" i="4"/>
  <c r="I13" i="10" s="1"/>
  <c r="K21" i="4"/>
  <c r="J13" i="10" s="1"/>
  <c r="L21" i="4"/>
  <c r="K13" i="10" s="1"/>
  <c r="M21" i="4"/>
  <c r="L13" i="10" s="1"/>
  <c r="N21" i="4"/>
  <c r="M13" i="10" s="1"/>
  <c r="O21" i="4"/>
  <c r="N13" i="10" s="1"/>
  <c r="P21" i="4"/>
  <c r="O13" i="10" s="1"/>
  <c r="Q21" i="4"/>
  <c r="P13" i="10" s="1"/>
  <c r="R21" i="4"/>
  <c r="Q13" i="10" s="1"/>
  <c r="T21" i="4"/>
  <c r="S13" i="10" s="1"/>
  <c r="U21" i="4"/>
  <c r="T13" i="10" s="1"/>
  <c r="V21" i="4"/>
  <c r="U13" i="10" s="1"/>
  <c r="W21" i="4"/>
  <c r="V13" i="10" s="1"/>
  <c r="X21" i="4"/>
  <c r="W13" i="10" s="1"/>
  <c r="Y21" i="4"/>
  <c r="X13" i="10" s="1"/>
  <c r="Z21" i="4"/>
  <c r="Y13" i="10" s="1"/>
  <c r="AA21" i="4"/>
  <c r="Z13" i="10" s="1"/>
  <c r="AB21" i="4"/>
  <c r="AA13" i="10" s="1"/>
  <c r="AC21" i="4"/>
  <c r="AB13" i="10" s="1"/>
  <c r="AD21" i="4"/>
  <c r="AC13" i="10" s="1"/>
  <c r="F18" i="4"/>
  <c r="H18" i="4"/>
  <c r="I18" i="4"/>
  <c r="J18" i="4"/>
  <c r="K18" i="4"/>
  <c r="L18" i="4"/>
  <c r="M18" i="4"/>
  <c r="N18" i="4"/>
  <c r="O18" i="4"/>
  <c r="P18" i="4"/>
  <c r="Q18" i="4"/>
  <c r="R18" i="4"/>
  <c r="T18" i="4"/>
  <c r="U18" i="4"/>
  <c r="V18" i="4"/>
  <c r="W18" i="4"/>
  <c r="X18" i="4"/>
  <c r="Y18" i="4"/>
  <c r="Z18" i="4"/>
  <c r="AA18" i="4"/>
  <c r="AB18" i="4"/>
  <c r="AC18" i="4"/>
  <c r="AD18" i="4"/>
  <c r="AE66" i="4" l="1"/>
  <c r="M12" i="10"/>
  <c r="M10" i="10" s="1"/>
  <c r="M7" i="10" s="1"/>
  <c r="N10" i="4"/>
  <c r="N7" i="4" s="1"/>
  <c r="AC12" i="10"/>
  <c r="AC10" i="10" s="1"/>
  <c r="AC7" i="10" s="1"/>
  <c r="AD10" i="4"/>
  <c r="AD7" i="4" s="1"/>
  <c r="U12" i="10"/>
  <c r="U10" i="10" s="1"/>
  <c r="U7" i="10" s="1"/>
  <c r="V10" i="4"/>
  <c r="V7" i="4" s="1"/>
  <c r="L12" i="10"/>
  <c r="L10" i="10" s="1"/>
  <c r="L7" i="10" s="1"/>
  <c r="M10" i="4"/>
  <c r="M7" i="4" s="1"/>
  <c r="AB12" i="10"/>
  <c r="AB10" i="10" s="1"/>
  <c r="AB7" i="10" s="1"/>
  <c r="AC10" i="4"/>
  <c r="AC7" i="4" s="1"/>
  <c r="T12" i="10"/>
  <c r="T10" i="10" s="1"/>
  <c r="T7" i="10" s="1"/>
  <c r="U10" i="4"/>
  <c r="U7" i="4" s="1"/>
  <c r="K12" i="10"/>
  <c r="K10" i="10" s="1"/>
  <c r="K7" i="10" s="1"/>
  <c r="L10" i="4"/>
  <c r="L7" i="4" s="1"/>
  <c r="AD13" i="10"/>
  <c r="S66" i="4"/>
  <c r="V12" i="10"/>
  <c r="V10" i="10" s="1"/>
  <c r="V7" i="10" s="1"/>
  <c r="W10" i="4"/>
  <c r="W7" i="4" s="1"/>
  <c r="I12" i="10"/>
  <c r="I10" i="10" s="1"/>
  <c r="I7" i="10" s="1"/>
  <c r="J10" i="4"/>
  <c r="J7" i="4" s="1"/>
  <c r="AD14" i="10"/>
  <c r="AA12" i="10"/>
  <c r="AA10" i="10" s="1"/>
  <c r="AA7" i="10" s="1"/>
  <c r="AB10" i="4"/>
  <c r="AB7" i="4" s="1"/>
  <c r="S12" i="10"/>
  <c r="T10" i="4"/>
  <c r="T7" i="4" s="1"/>
  <c r="J12" i="10"/>
  <c r="J10" i="10" s="1"/>
  <c r="J7" i="10" s="1"/>
  <c r="K10" i="4"/>
  <c r="K7" i="4" s="1"/>
  <c r="R14" i="10"/>
  <c r="Z12" i="10"/>
  <c r="Z10" i="10" s="1"/>
  <c r="Z7" i="10" s="1"/>
  <c r="AA10" i="4"/>
  <c r="AA7" i="4" s="1"/>
  <c r="Q12" i="10"/>
  <c r="Q10" i="10" s="1"/>
  <c r="Q7" i="10" s="1"/>
  <c r="R10" i="4"/>
  <c r="R7" i="4" s="1"/>
  <c r="Y12" i="10"/>
  <c r="Y10" i="10" s="1"/>
  <c r="Y7" i="10" s="1"/>
  <c r="Z10" i="4"/>
  <c r="Z7" i="4" s="1"/>
  <c r="P12" i="10"/>
  <c r="P10" i="10" s="1"/>
  <c r="P7" i="10" s="1"/>
  <c r="Q10" i="4"/>
  <c r="Q7" i="4" s="1"/>
  <c r="H12" i="10"/>
  <c r="H10" i="10" s="1"/>
  <c r="H7" i="10" s="1"/>
  <c r="I10" i="4"/>
  <c r="I7" i="4" s="1"/>
  <c r="R13" i="10"/>
  <c r="X12" i="10"/>
  <c r="X10" i="10" s="1"/>
  <c r="X7" i="10" s="1"/>
  <c r="Y10" i="4"/>
  <c r="Y7" i="4" s="1"/>
  <c r="O12" i="10"/>
  <c r="O10" i="10" s="1"/>
  <c r="O7" i="10" s="1"/>
  <c r="P10" i="4"/>
  <c r="P7" i="4" s="1"/>
  <c r="G12" i="10"/>
  <c r="H10" i="4"/>
  <c r="H7" i="4" s="1"/>
  <c r="W12" i="10"/>
  <c r="W10" i="10" s="1"/>
  <c r="W7" i="10" s="1"/>
  <c r="X10" i="4"/>
  <c r="X7" i="4" s="1"/>
  <c r="N12" i="10"/>
  <c r="N10" i="10" s="1"/>
  <c r="N7" i="10" s="1"/>
  <c r="O10" i="4"/>
  <c r="O7" i="4" s="1"/>
  <c r="E49" i="4"/>
  <c r="E46" i="4" s="1"/>
  <c r="E70" i="4"/>
  <c r="F67" i="4"/>
  <c r="F68" i="4"/>
  <c r="G68" i="4" s="1"/>
  <c r="E42" i="4"/>
  <c r="E37" i="4" s="1"/>
  <c r="F45" i="4"/>
  <c r="F43" i="4" s="1"/>
  <c r="D12" i="11" l="1"/>
  <c r="G12" i="11"/>
  <c r="AD12" i="10"/>
  <c r="F12" i="11" s="1"/>
  <c r="S10" i="10"/>
  <c r="S7" i="10" s="1"/>
  <c r="E13" i="10"/>
  <c r="R12" i="10"/>
  <c r="C12" i="11" s="1"/>
  <c r="G10" i="10"/>
  <c r="G7" i="10" s="1"/>
  <c r="E14" i="10"/>
  <c r="F14" i="10" s="1"/>
  <c r="G49" i="4"/>
  <c r="G46" i="4" s="1"/>
  <c r="G67" i="4"/>
  <c r="G66" i="4" s="1"/>
  <c r="F66" i="4"/>
  <c r="F60" i="4" s="1"/>
  <c r="G70" i="4"/>
  <c r="G69" i="4" s="1"/>
  <c r="E69" i="4"/>
  <c r="F30" i="4"/>
  <c r="G45" i="4"/>
  <c r="G43" i="4" s="1"/>
  <c r="G42" i="4"/>
  <c r="G37" i="4" s="1"/>
  <c r="J12" i="11" l="1"/>
  <c r="H12" i="11"/>
  <c r="I12" i="11"/>
  <c r="K12" i="11" s="1"/>
  <c r="E12" i="11"/>
  <c r="AD10" i="10"/>
  <c r="AD7" i="10" s="1"/>
  <c r="D12" i="10"/>
  <c r="R10" i="10"/>
  <c r="R7" i="10" s="1"/>
  <c r="E10" i="10"/>
  <c r="F13" i="10"/>
  <c r="AE65" i="4"/>
  <c r="AE62" i="4"/>
  <c r="AE59" i="4"/>
  <c r="AE58" i="4" s="1"/>
  <c r="AE57" i="4"/>
  <c r="AE56" i="4" s="1"/>
  <c r="AE35" i="4"/>
  <c r="AE25" i="4"/>
  <c r="AE24" i="4"/>
  <c r="AE22" i="4"/>
  <c r="AE21" i="4" s="1"/>
  <c r="AE20" i="4"/>
  <c r="AE19" i="4"/>
  <c r="AE17" i="4"/>
  <c r="AE16" i="4"/>
  <c r="AE15" i="4"/>
  <c r="S65" i="4"/>
  <c r="S62" i="4"/>
  <c r="S59" i="4"/>
  <c r="S58" i="4" s="1"/>
  <c r="S57" i="4"/>
  <c r="S56" i="4" s="1"/>
  <c r="S35" i="4"/>
  <c r="S25" i="4"/>
  <c r="S24" i="4"/>
  <c r="S22" i="4"/>
  <c r="S20" i="4"/>
  <c r="S19" i="4"/>
  <c r="S17" i="4"/>
  <c r="S16" i="4"/>
  <c r="S15" i="4"/>
  <c r="S13" i="4"/>
  <c r="S55" i="4" l="1"/>
  <c r="AE55" i="4"/>
  <c r="F12" i="10"/>
  <c r="F10" i="10" s="1"/>
  <c r="D10" i="10"/>
  <c r="AE11" i="4"/>
  <c r="S61" i="4"/>
  <c r="S60" i="4" s="1"/>
  <c r="AE31" i="4"/>
  <c r="AE30" i="4" s="1"/>
  <c r="S11" i="4"/>
  <c r="S31" i="4"/>
  <c r="S30" i="4" s="1"/>
  <c r="AE61" i="4"/>
  <c r="AE60" i="4" s="1"/>
  <c r="S23" i="4"/>
  <c r="AE23" i="4"/>
  <c r="AE18" i="4"/>
  <c r="F22" i="4"/>
  <c r="S21" i="4"/>
  <c r="S18" i="4"/>
  <c r="E20" i="4"/>
  <c r="G20" i="4" s="1"/>
  <c r="E19" i="4"/>
  <c r="E16" i="4"/>
  <c r="G16" i="4" s="1"/>
  <c r="F24" i="4"/>
  <c r="F25" i="4"/>
  <c r="G25" i="4" s="1"/>
  <c r="V12" i="11" l="1"/>
  <c r="S10" i="4"/>
  <c r="S7" i="4" s="1"/>
  <c r="AE10" i="4"/>
  <c r="AE7" i="4" s="1"/>
  <c r="G19" i="4"/>
  <c r="G18" i="4" s="1"/>
  <c r="E18" i="4"/>
  <c r="G24" i="4"/>
  <c r="G23" i="4" s="1"/>
  <c r="F23" i="4"/>
  <c r="G22" i="4"/>
  <c r="G21" i="4" s="1"/>
  <c r="F21" i="4"/>
  <c r="F10" i="4" l="1"/>
  <c r="AE12" i="3"/>
  <c r="AE13" i="3"/>
  <c r="S13" i="3"/>
  <c r="F56" i="3"/>
  <c r="H56" i="3"/>
  <c r="I56" i="3"/>
  <c r="K56" i="3"/>
  <c r="L56" i="3"/>
  <c r="M56" i="3"/>
  <c r="N56" i="3"/>
  <c r="O56" i="3"/>
  <c r="P56" i="3"/>
  <c r="Q56" i="3"/>
  <c r="R56" i="3"/>
  <c r="T56" i="3"/>
  <c r="U56" i="3"/>
  <c r="V56" i="3"/>
  <c r="W56" i="3"/>
  <c r="X56" i="3"/>
  <c r="Y56" i="3"/>
  <c r="Z56" i="3"/>
  <c r="AA56" i="3"/>
  <c r="AB56" i="3"/>
  <c r="AC56" i="3"/>
  <c r="AD56" i="3"/>
  <c r="AE57" i="3"/>
  <c r="S57" i="3"/>
  <c r="S12" i="3"/>
  <c r="Z22" i="9" l="1"/>
  <c r="S22" i="9"/>
  <c r="P22" i="9"/>
  <c r="I22" i="9"/>
  <c r="G22" i="9"/>
  <c r="AA22" i="9"/>
  <c r="Q22" i="9"/>
  <c r="H22" i="9"/>
  <c r="X22" i="9"/>
  <c r="W22" i="9"/>
  <c r="V22" i="9"/>
  <c r="AC22" i="9"/>
  <c r="L22" i="9"/>
  <c r="J22" i="9"/>
  <c r="Y22" i="9"/>
  <c r="O22" i="9"/>
  <c r="N22" i="9"/>
  <c r="M22" i="9"/>
  <c r="U22" i="9"/>
  <c r="AB22" i="9"/>
  <c r="T22" i="9"/>
  <c r="K22" i="9"/>
  <c r="E13" i="3"/>
  <c r="G13" i="3" s="1"/>
  <c r="E57" i="3"/>
  <c r="G57" i="3" s="1"/>
  <c r="E12" i="3"/>
  <c r="G12" i="3" s="1"/>
  <c r="AD22" i="9" l="1"/>
  <c r="R22" i="9"/>
  <c r="E85" i="3"/>
  <c r="F92" i="3"/>
  <c r="H92" i="3"/>
  <c r="G34" i="9" s="1"/>
  <c r="I92" i="3"/>
  <c r="H34" i="9" s="1"/>
  <c r="J92" i="3"/>
  <c r="I34" i="9" s="1"/>
  <c r="K92" i="3"/>
  <c r="J34" i="9" s="1"/>
  <c r="L92" i="3"/>
  <c r="K34" i="9" s="1"/>
  <c r="M92" i="3"/>
  <c r="L34" i="9" s="1"/>
  <c r="N92" i="3"/>
  <c r="M34" i="9" s="1"/>
  <c r="O92" i="3"/>
  <c r="N34" i="9" s="1"/>
  <c r="P92" i="3"/>
  <c r="O34" i="9" s="1"/>
  <c r="Q92" i="3"/>
  <c r="P34" i="9" s="1"/>
  <c r="R92" i="3"/>
  <c r="Q34" i="9" s="1"/>
  <c r="T92" i="3"/>
  <c r="S34" i="9" s="1"/>
  <c r="U92" i="3"/>
  <c r="T34" i="9" s="1"/>
  <c r="V92" i="3"/>
  <c r="U34" i="9" s="1"/>
  <c r="W92" i="3"/>
  <c r="V34" i="9" s="1"/>
  <c r="X92" i="3"/>
  <c r="W34" i="9" s="1"/>
  <c r="Y92" i="3"/>
  <c r="X34" i="9" s="1"/>
  <c r="Z92" i="3"/>
  <c r="Y34" i="9" s="1"/>
  <c r="AA92" i="3"/>
  <c r="Z34" i="9" s="1"/>
  <c r="AB92" i="3"/>
  <c r="AA34" i="9" s="1"/>
  <c r="AC92" i="3"/>
  <c r="AB34" i="9" s="1"/>
  <c r="AD92" i="3"/>
  <c r="AC34" i="9" s="1"/>
  <c r="D22" i="9" l="1"/>
  <c r="F22" i="9" s="1"/>
  <c r="AD34" i="9"/>
  <c r="R34" i="9"/>
  <c r="D34" i="9" l="1"/>
  <c r="D31" i="9" s="1"/>
  <c r="F34" i="9" l="1"/>
  <c r="AE94" i="3"/>
  <c r="AE93" i="3"/>
  <c r="AE88" i="3"/>
  <c r="AE86" i="3"/>
  <c r="S94" i="3"/>
  <c r="S93" i="3"/>
  <c r="S88" i="3"/>
  <c r="S86" i="3"/>
  <c r="H85" i="3"/>
  <c r="I85" i="3"/>
  <c r="J85" i="3"/>
  <c r="K85" i="3"/>
  <c r="L85" i="3"/>
  <c r="M85" i="3"/>
  <c r="N85" i="3"/>
  <c r="O85" i="3"/>
  <c r="P85" i="3"/>
  <c r="Q85" i="3"/>
  <c r="R85" i="3"/>
  <c r="T85" i="3"/>
  <c r="U85" i="3"/>
  <c r="V85" i="3"/>
  <c r="W85" i="3"/>
  <c r="X85" i="3"/>
  <c r="Y85" i="3"/>
  <c r="Z85" i="3"/>
  <c r="AA85" i="3"/>
  <c r="AB85" i="3"/>
  <c r="AC85" i="3"/>
  <c r="AD85" i="3"/>
  <c r="AC32" i="9" l="1"/>
  <c r="AD84" i="3"/>
  <c r="L32" i="9"/>
  <c r="M84" i="3"/>
  <c r="K32" i="9"/>
  <c r="L84" i="3"/>
  <c r="Z32" i="9"/>
  <c r="AA84" i="3"/>
  <c r="AB32" i="9"/>
  <c r="AC84" i="3"/>
  <c r="AA32" i="9"/>
  <c r="AB84" i="3"/>
  <c r="S32" i="9"/>
  <c r="T84" i="3"/>
  <c r="J32" i="9"/>
  <c r="K84" i="3"/>
  <c r="M32" i="9"/>
  <c r="N84" i="3"/>
  <c r="V32" i="9"/>
  <c r="V31" i="9" s="1"/>
  <c r="W84" i="3"/>
  <c r="U32" i="9"/>
  <c r="V84" i="3"/>
  <c r="Y32" i="9"/>
  <c r="Y31" i="9" s="1"/>
  <c r="Z84" i="3"/>
  <c r="X32" i="9"/>
  <c r="X31" i="9" s="1"/>
  <c r="Y84" i="3"/>
  <c r="T32" i="9"/>
  <c r="T31" i="9" s="1"/>
  <c r="U84" i="3"/>
  <c r="W32" i="9"/>
  <c r="W31" i="9" s="1"/>
  <c r="X84" i="3"/>
  <c r="Q32" i="9"/>
  <c r="Q31" i="9" s="1"/>
  <c r="R84" i="3"/>
  <c r="P32" i="9"/>
  <c r="P31" i="9" s="1"/>
  <c r="Q84" i="3"/>
  <c r="O32" i="9"/>
  <c r="O31" i="9" s="1"/>
  <c r="P84" i="3"/>
  <c r="N32" i="9"/>
  <c r="N31" i="9" s="1"/>
  <c r="O84" i="3"/>
  <c r="I32" i="9"/>
  <c r="I31" i="9" s="1"/>
  <c r="J84" i="3"/>
  <c r="H32" i="9"/>
  <c r="H31" i="9" s="1"/>
  <c r="I84" i="3"/>
  <c r="G32" i="9"/>
  <c r="H84" i="3"/>
  <c r="AA31" i="9"/>
  <c r="S31" i="9"/>
  <c r="AB31" i="9"/>
  <c r="Z31" i="9"/>
  <c r="M31" i="9"/>
  <c r="AC31" i="9"/>
  <c r="U31" i="9"/>
  <c r="L31" i="9"/>
  <c r="J31" i="9"/>
  <c r="K31" i="9"/>
  <c r="S92" i="3"/>
  <c r="AE92" i="3"/>
  <c r="AE85" i="3"/>
  <c r="AE84" i="3" s="1"/>
  <c r="S85" i="3"/>
  <c r="S84" i="3" l="1"/>
  <c r="AD32" i="9"/>
  <c r="R32" i="9"/>
  <c r="E32" i="9" s="1"/>
  <c r="F32" i="9" s="1"/>
  <c r="G31" i="9"/>
  <c r="AD33" i="9"/>
  <c r="AD31" i="9" s="1"/>
  <c r="R33" i="9"/>
  <c r="E33" i="9" l="1"/>
  <c r="E31" i="9" s="1"/>
  <c r="R31" i="9"/>
  <c r="Z72" i="3"/>
  <c r="Y26" i="9" s="1"/>
  <c r="F72" i="3"/>
  <c r="H72" i="3"/>
  <c r="G26" i="9" s="1"/>
  <c r="I72" i="3"/>
  <c r="H26" i="9" s="1"/>
  <c r="J72" i="3"/>
  <c r="I26" i="9" s="1"/>
  <c r="K72" i="3"/>
  <c r="J26" i="9" s="1"/>
  <c r="L72" i="3"/>
  <c r="K26" i="9" s="1"/>
  <c r="M72" i="3"/>
  <c r="L26" i="9" s="1"/>
  <c r="N72" i="3"/>
  <c r="M26" i="9" s="1"/>
  <c r="O72" i="3"/>
  <c r="N26" i="9" s="1"/>
  <c r="P72" i="3"/>
  <c r="O26" i="9" s="1"/>
  <c r="Q72" i="3"/>
  <c r="P26" i="9" s="1"/>
  <c r="R72" i="3"/>
  <c r="Q26" i="9" s="1"/>
  <c r="T72" i="3"/>
  <c r="S26" i="9" s="1"/>
  <c r="U72" i="3"/>
  <c r="T26" i="9" s="1"/>
  <c r="V72" i="3"/>
  <c r="U26" i="9" s="1"/>
  <c r="W72" i="3"/>
  <c r="V26" i="9" s="1"/>
  <c r="X72" i="3"/>
  <c r="W26" i="9" s="1"/>
  <c r="Y72" i="3"/>
  <c r="X26" i="9" s="1"/>
  <c r="AA72" i="3"/>
  <c r="Z26" i="9" s="1"/>
  <c r="AB72" i="3"/>
  <c r="AA26" i="9" s="1"/>
  <c r="AC72" i="3"/>
  <c r="AB26" i="9" s="1"/>
  <c r="AD72" i="3"/>
  <c r="AC26" i="9" s="1"/>
  <c r="AE75" i="3"/>
  <c r="S75" i="3"/>
  <c r="AE74" i="3"/>
  <c r="S74" i="3"/>
  <c r="AE73" i="3"/>
  <c r="S73" i="3"/>
  <c r="AE48" i="3"/>
  <c r="S48" i="3"/>
  <c r="AE47" i="3"/>
  <c r="S47" i="3"/>
  <c r="AE46" i="3"/>
  <c r="S46" i="3"/>
  <c r="AE45" i="3"/>
  <c r="S45" i="3"/>
  <c r="AE44" i="3"/>
  <c r="S44" i="3"/>
  <c r="S59" i="3"/>
  <c r="S60" i="3"/>
  <c r="S61" i="3"/>
  <c r="S58" i="3"/>
  <c r="AE22" i="3"/>
  <c r="AE23" i="3"/>
  <c r="AE24" i="3"/>
  <c r="AE25" i="3"/>
  <c r="AE21" i="3"/>
  <c r="AE14" i="3"/>
  <c r="AE15" i="3"/>
  <c r="AE16" i="3"/>
  <c r="AE17" i="3"/>
  <c r="AE18" i="3"/>
  <c r="AE59" i="3"/>
  <c r="AE60" i="3"/>
  <c r="AE61" i="3"/>
  <c r="AE58" i="3"/>
  <c r="S67" i="3"/>
  <c r="S68" i="3"/>
  <c r="S69" i="3"/>
  <c r="AE67" i="3"/>
  <c r="AE68" i="3"/>
  <c r="AE69" i="3"/>
  <c r="S25" i="3"/>
  <c r="S24" i="3"/>
  <c r="S23" i="3"/>
  <c r="S22" i="3"/>
  <c r="S21" i="3"/>
  <c r="S18" i="3"/>
  <c r="S17" i="3"/>
  <c r="S16" i="3"/>
  <c r="S14" i="3"/>
  <c r="S15" i="3"/>
  <c r="F33" i="9" l="1"/>
  <c r="F31" i="9" s="1"/>
  <c r="E16" i="3"/>
  <c r="G16" i="3" s="1"/>
  <c r="E47" i="3"/>
  <c r="G47" i="3" s="1"/>
  <c r="R26" i="9"/>
  <c r="E19" i="9"/>
  <c r="F19" i="9" s="1"/>
  <c r="R23" i="9"/>
  <c r="AD26" i="9"/>
  <c r="AD23" i="9"/>
  <c r="E67" i="3"/>
  <c r="G67" i="3" s="1"/>
  <c r="E24" i="3"/>
  <c r="G24" i="3" s="1"/>
  <c r="E18" i="3"/>
  <c r="G18" i="3" s="1"/>
  <c r="E44" i="3"/>
  <c r="E61" i="3"/>
  <c r="G61" i="3" s="1"/>
  <c r="E15" i="3"/>
  <c r="G15" i="3" s="1"/>
  <c r="E46" i="3"/>
  <c r="G46" i="3" s="1"/>
  <c r="E17" i="3"/>
  <c r="G17" i="3" s="1"/>
  <c r="E75" i="3"/>
  <c r="G75" i="3" s="1"/>
  <c r="E59" i="3"/>
  <c r="G59" i="3" s="1"/>
  <c r="E73" i="3"/>
  <c r="G73" i="3" s="1"/>
  <c r="E74" i="3"/>
  <c r="G74" i="3" s="1"/>
  <c r="E45" i="3"/>
  <c r="G45" i="3" s="1"/>
  <c r="E48" i="3"/>
  <c r="G48" i="3" s="1"/>
  <c r="E14" i="3"/>
  <c r="E25" i="3"/>
  <c r="G25" i="3" s="1"/>
  <c r="E68" i="3"/>
  <c r="G68" i="3" s="1"/>
  <c r="E23" i="3"/>
  <c r="G23" i="3" s="1"/>
  <c r="E22" i="3"/>
  <c r="G22" i="3" s="1"/>
  <c r="E60" i="3"/>
  <c r="G60" i="3" s="1"/>
  <c r="E69" i="3"/>
  <c r="G69" i="3" s="1"/>
  <c r="E21" i="3"/>
  <c r="H81" i="3"/>
  <c r="I81" i="3"/>
  <c r="J81" i="3"/>
  <c r="K81" i="3"/>
  <c r="L81" i="3"/>
  <c r="M81" i="3"/>
  <c r="N81" i="3"/>
  <c r="O81" i="3"/>
  <c r="P81" i="3"/>
  <c r="Q81" i="3"/>
  <c r="R81" i="3"/>
  <c r="T81" i="3"/>
  <c r="U81" i="3"/>
  <c r="V81" i="3"/>
  <c r="W81" i="3"/>
  <c r="X81" i="3"/>
  <c r="Y81" i="3"/>
  <c r="Z81" i="3"/>
  <c r="AA81" i="3"/>
  <c r="AB81" i="3"/>
  <c r="AC81" i="3"/>
  <c r="AD81" i="3"/>
  <c r="F81" i="3"/>
  <c r="F80" i="3" s="1"/>
  <c r="AE83" i="3"/>
  <c r="AE82" i="3"/>
  <c r="S83" i="3"/>
  <c r="S82" i="3"/>
  <c r="E23" i="9" l="1"/>
  <c r="E13" i="9"/>
  <c r="G44" i="3"/>
  <c r="G14" i="3"/>
  <c r="D26" i="9"/>
  <c r="AE81" i="3"/>
  <c r="AE80" i="3" s="1"/>
  <c r="AC80" i="3"/>
  <c r="AB30" i="9"/>
  <c r="AB29" i="9" s="1"/>
  <c r="R80" i="3"/>
  <c r="Q30" i="9"/>
  <c r="Q29" i="9" s="1"/>
  <c r="Q80" i="3"/>
  <c r="P30" i="9"/>
  <c r="P29" i="9" s="1"/>
  <c r="Y80" i="3"/>
  <c r="X30" i="9"/>
  <c r="X29" i="9" s="1"/>
  <c r="P80" i="3"/>
  <c r="O30" i="9"/>
  <c r="O29" i="9" s="1"/>
  <c r="H80" i="3"/>
  <c r="G30" i="9"/>
  <c r="X80" i="3"/>
  <c r="W30" i="9"/>
  <c r="W29" i="9" s="1"/>
  <c r="O80" i="3"/>
  <c r="N30" i="9"/>
  <c r="N29" i="9" s="1"/>
  <c r="T80" i="3"/>
  <c r="S30" i="9"/>
  <c r="S29" i="9" s="1"/>
  <c r="N80" i="3"/>
  <c r="M30" i="9"/>
  <c r="M29" i="9" s="1"/>
  <c r="AA80" i="3"/>
  <c r="Z30" i="9"/>
  <c r="J80" i="3"/>
  <c r="I30" i="9"/>
  <c r="I29" i="9" s="1"/>
  <c r="Z80" i="3"/>
  <c r="Y30" i="9"/>
  <c r="Y29" i="9" s="1"/>
  <c r="W80" i="3"/>
  <c r="V30" i="9"/>
  <c r="V29" i="9" s="1"/>
  <c r="AD80" i="3"/>
  <c r="AC30" i="9"/>
  <c r="AC29" i="9" s="1"/>
  <c r="V80" i="3"/>
  <c r="U30" i="9"/>
  <c r="U29" i="9" s="1"/>
  <c r="M80" i="3"/>
  <c r="L30" i="9"/>
  <c r="L29" i="9" s="1"/>
  <c r="U80" i="3"/>
  <c r="T30" i="9"/>
  <c r="T29" i="9" s="1"/>
  <c r="L80" i="3"/>
  <c r="K30" i="9"/>
  <c r="K29" i="9" s="1"/>
  <c r="K80" i="3"/>
  <c r="J30" i="9"/>
  <c r="J29" i="9" s="1"/>
  <c r="AB80" i="3"/>
  <c r="AA30" i="9"/>
  <c r="AA29" i="9" s="1"/>
  <c r="I80" i="3"/>
  <c r="H30" i="9"/>
  <c r="H29" i="9" s="1"/>
  <c r="S81" i="3"/>
  <c r="S80" i="3" s="1"/>
  <c r="G21" i="3"/>
  <c r="E83" i="3"/>
  <c r="G83" i="3" s="1"/>
  <c r="E82" i="3"/>
  <c r="F23" i="9" l="1"/>
  <c r="F26" i="9"/>
  <c r="D21" i="9"/>
  <c r="F13" i="9"/>
  <c r="E81" i="3"/>
  <c r="E80" i="3" s="1"/>
  <c r="AD30" i="9"/>
  <c r="AD29" i="9" s="1"/>
  <c r="Z29" i="9"/>
  <c r="R30" i="9"/>
  <c r="G29" i="9"/>
  <c r="G82" i="3"/>
  <c r="G81" i="3" s="1"/>
  <c r="G80" i="3" s="1"/>
  <c r="D30" i="9" l="1"/>
  <c r="R29" i="9"/>
  <c r="E94" i="3"/>
  <c r="G94" i="3" s="1"/>
  <c r="E93" i="3"/>
  <c r="F88" i="3"/>
  <c r="G88" i="3" s="1"/>
  <c r="F86" i="3"/>
  <c r="E120" i="3"/>
  <c r="E113" i="3"/>
  <c r="AE122" i="3"/>
  <c r="AE121" i="3"/>
  <c r="AE119" i="3"/>
  <c r="AE118" i="3"/>
  <c r="AE117" i="3"/>
  <c r="AE115" i="3"/>
  <c r="AE114" i="3"/>
  <c r="S122" i="3"/>
  <c r="S121" i="3"/>
  <c r="S119" i="3"/>
  <c r="S118" i="3"/>
  <c r="S117" i="3"/>
  <c r="S115" i="3"/>
  <c r="S114" i="3"/>
  <c r="H120" i="3"/>
  <c r="G44" i="9" s="1"/>
  <c r="I120" i="3"/>
  <c r="H44" i="9" s="1"/>
  <c r="J120" i="3"/>
  <c r="I44" i="9" s="1"/>
  <c r="K120" i="3"/>
  <c r="J44" i="9" s="1"/>
  <c r="L120" i="3"/>
  <c r="K44" i="9" s="1"/>
  <c r="M120" i="3"/>
  <c r="L44" i="9" s="1"/>
  <c r="N120" i="3"/>
  <c r="M44" i="9" s="1"/>
  <c r="O120" i="3"/>
  <c r="N44" i="9" s="1"/>
  <c r="P120" i="3"/>
  <c r="O44" i="9" s="1"/>
  <c r="Q120" i="3"/>
  <c r="P44" i="9" s="1"/>
  <c r="R120" i="3"/>
  <c r="Q44" i="9" s="1"/>
  <c r="T120" i="3"/>
  <c r="S44" i="9" s="1"/>
  <c r="U120" i="3"/>
  <c r="T44" i="9" s="1"/>
  <c r="V120" i="3"/>
  <c r="U44" i="9" s="1"/>
  <c r="W120" i="3"/>
  <c r="V44" i="9" s="1"/>
  <c r="X120" i="3"/>
  <c r="W44" i="9" s="1"/>
  <c r="Y120" i="3"/>
  <c r="X44" i="9" s="1"/>
  <c r="Z120" i="3"/>
  <c r="Y44" i="9" s="1"/>
  <c r="AA120" i="3"/>
  <c r="Z44" i="9" s="1"/>
  <c r="AB120" i="3"/>
  <c r="AA44" i="9" s="1"/>
  <c r="AC120" i="3"/>
  <c r="AB44" i="9" s="1"/>
  <c r="AD120" i="3"/>
  <c r="AC44" i="9" s="1"/>
  <c r="F116" i="3"/>
  <c r="H116" i="3"/>
  <c r="G43" i="9" s="1"/>
  <c r="I116" i="3"/>
  <c r="H43" i="9" s="1"/>
  <c r="J116" i="3"/>
  <c r="I43" i="9" s="1"/>
  <c r="K116" i="3"/>
  <c r="J43" i="9" s="1"/>
  <c r="L116" i="3"/>
  <c r="K43" i="9" s="1"/>
  <c r="M116" i="3"/>
  <c r="L43" i="9" s="1"/>
  <c r="N116" i="3"/>
  <c r="M43" i="9" s="1"/>
  <c r="O116" i="3"/>
  <c r="N43" i="9" s="1"/>
  <c r="P116" i="3"/>
  <c r="O43" i="9" s="1"/>
  <c r="Q116" i="3"/>
  <c r="P43" i="9" s="1"/>
  <c r="R116" i="3"/>
  <c r="Q43" i="9" s="1"/>
  <c r="T116" i="3"/>
  <c r="S43" i="9" s="1"/>
  <c r="U116" i="3"/>
  <c r="T43" i="9" s="1"/>
  <c r="V116" i="3"/>
  <c r="U43" i="9" s="1"/>
  <c r="W116" i="3"/>
  <c r="V43" i="9" s="1"/>
  <c r="X116" i="3"/>
  <c r="W43" i="9" s="1"/>
  <c r="Y116" i="3"/>
  <c r="X43" i="9" s="1"/>
  <c r="Z116" i="3"/>
  <c r="Y43" i="9" s="1"/>
  <c r="AA116" i="3"/>
  <c r="Z43" i="9" s="1"/>
  <c r="AB116" i="3"/>
  <c r="AA43" i="9" s="1"/>
  <c r="AC116" i="3"/>
  <c r="AB43" i="9" s="1"/>
  <c r="AD116" i="3"/>
  <c r="AC43" i="9" s="1"/>
  <c r="H113" i="3"/>
  <c r="G42" i="9" s="1"/>
  <c r="I113" i="3"/>
  <c r="H42" i="9" s="1"/>
  <c r="J113" i="3"/>
  <c r="I42" i="9" s="1"/>
  <c r="K113" i="3"/>
  <c r="J42" i="9" s="1"/>
  <c r="L113" i="3"/>
  <c r="K42" i="9" s="1"/>
  <c r="M113" i="3"/>
  <c r="L42" i="9" s="1"/>
  <c r="N113" i="3"/>
  <c r="M42" i="9" s="1"/>
  <c r="O113" i="3"/>
  <c r="N42" i="9" s="1"/>
  <c r="P113" i="3"/>
  <c r="O42" i="9" s="1"/>
  <c r="Q113" i="3"/>
  <c r="P42" i="9" s="1"/>
  <c r="R113" i="3"/>
  <c r="Q42" i="9" s="1"/>
  <c r="T113" i="3"/>
  <c r="S42" i="9" s="1"/>
  <c r="U113" i="3"/>
  <c r="T42" i="9" s="1"/>
  <c r="V113" i="3"/>
  <c r="U42" i="9" s="1"/>
  <c r="W113" i="3"/>
  <c r="V42" i="9" s="1"/>
  <c r="X113" i="3"/>
  <c r="W42" i="9" s="1"/>
  <c r="Y113" i="3"/>
  <c r="X42" i="9" s="1"/>
  <c r="Z113" i="3"/>
  <c r="Y42" i="9" s="1"/>
  <c r="AA113" i="3"/>
  <c r="Z42" i="9" s="1"/>
  <c r="AB113" i="3"/>
  <c r="AA42" i="9" s="1"/>
  <c r="AC113" i="3"/>
  <c r="AB42" i="9" s="1"/>
  <c r="AD113" i="3"/>
  <c r="AC42" i="9" s="1"/>
  <c r="E101" i="3"/>
  <c r="H108" i="3"/>
  <c r="G39" i="9" s="1"/>
  <c r="I108" i="3"/>
  <c r="H39" i="9" s="1"/>
  <c r="J108" i="3"/>
  <c r="I39" i="9" s="1"/>
  <c r="K108" i="3"/>
  <c r="J39" i="9" s="1"/>
  <c r="L108" i="3"/>
  <c r="K39" i="9" s="1"/>
  <c r="M108" i="3"/>
  <c r="L39" i="9" s="1"/>
  <c r="N108" i="3"/>
  <c r="M39" i="9" s="1"/>
  <c r="O108" i="3"/>
  <c r="N39" i="9" s="1"/>
  <c r="P108" i="3"/>
  <c r="O39" i="9" s="1"/>
  <c r="Q108" i="3"/>
  <c r="P39" i="9" s="1"/>
  <c r="R108" i="3"/>
  <c r="Q39" i="9" s="1"/>
  <c r="T108" i="3"/>
  <c r="S39" i="9" s="1"/>
  <c r="U108" i="3"/>
  <c r="T39" i="9" s="1"/>
  <c r="V108" i="3"/>
  <c r="U39" i="9" s="1"/>
  <c r="W108" i="3"/>
  <c r="V39" i="9" s="1"/>
  <c r="X108" i="3"/>
  <c r="W39" i="9" s="1"/>
  <c r="Y108" i="3"/>
  <c r="X39" i="9" s="1"/>
  <c r="Z108" i="3"/>
  <c r="Y39" i="9" s="1"/>
  <c r="AA108" i="3"/>
  <c r="Z39" i="9" s="1"/>
  <c r="AB108" i="3"/>
  <c r="AA39" i="9" s="1"/>
  <c r="AC108" i="3"/>
  <c r="AB39" i="9" s="1"/>
  <c r="AD108" i="3"/>
  <c r="AC39" i="9" s="1"/>
  <c r="E108" i="3"/>
  <c r="H105" i="3"/>
  <c r="G38" i="9" s="1"/>
  <c r="I105" i="3"/>
  <c r="H38" i="9" s="1"/>
  <c r="J105" i="3"/>
  <c r="I38" i="9" s="1"/>
  <c r="K105" i="3"/>
  <c r="J38" i="9" s="1"/>
  <c r="L105" i="3"/>
  <c r="K38" i="9" s="1"/>
  <c r="M105" i="3"/>
  <c r="L38" i="9" s="1"/>
  <c r="N105" i="3"/>
  <c r="M38" i="9" s="1"/>
  <c r="O105" i="3"/>
  <c r="N38" i="9" s="1"/>
  <c r="P105" i="3"/>
  <c r="O38" i="9" s="1"/>
  <c r="Q105" i="3"/>
  <c r="P38" i="9" s="1"/>
  <c r="R105" i="3"/>
  <c r="Q38" i="9" s="1"/>
  <c r="T105" i="3"/>
  <c r="S38" i="9" s="1"/>
  <c r="U105" i="3"/>
  <c r="T38" i="9" s="1"/>
  <c r="V105" i="3"/>
  <c r="U38" i="9" s="1"/>
  <c r="W105" i="3"/>
  <c r="V38" i="9" s="1"/>
  <c r="X105" i="3"/>
  <c r="W38" i="9" s="1"/>
  <c r="Y105" i="3"/>
  <c r="X38" i="9" s="1"/>
  <c r="Z105" i="3"/>
  <c r="Y38" i="9" s="1"/>
  <c r="AA105" i="3"/>
  <c r="Z38" i="9" s="1"/>
  <c r="AB105" i="3"/>
  <c r="AA38" i="9" s="1"/>
  <c r="AC105" i="3"/>
  <c r="AB38" i="9" s="1"/>
  <c r="AD105" i="3"/>
  <c r="AC38" i="9" s="1"/>
  <c r="E105" i="3"/>
  <c r="AE110" i="3"/>
  <c r="AE109" i="3"/>
  <c r="AE107" i="3"/>
  <c r="AE106" i="3"/>
  <c r="AE103" i="3"/>
  <c r="AE104" i="3"/>
  <c r="AE102" i="3"/>
  <c r="S110" i="3"/>
  <c r="S109" i="3"/>
  <c r="S107" i="3"/>
  <c r="S106" i="3"/>
  <c r="S103" i="3"/>
  <c r="S104" i="3"/>
  <c r="S102" i="3"/>
  <c r="H101" i="3"/>
  <c r="G37" i="9" s="1"/>
  <c r="I101" i="3"/>
  <c r="H37" i="9" s="1"/>
  <c r="J101" i="3"/>
  <c r="I37" i="9" s="1"/>
  <c r="K101" i="3"/>
  <c r="J37" i="9" s="1"/>
  <c r="L101" i="3"/>
  <c r="K37" i="9" s="1"/>
  <c r="M101" i="3"/>
  <c r="L37" i="9" s="1"/>
  <c r="N101" i="3"/>
  <c r="M37" i="9" s="1"/>
  <c r="O101" i="3"/>
  <c r="P101" i="3"/>
  <c r="O37" i="9" s="1"/>
  <c r="Q101" i="3"/>
  <c r="P37" i="9" s="1"/>
  <c r="R101" i="3"/>
  <c r="Q37" i="9" s="1"/>
  <c r="T101" i="3"/>
  <c r="S37" i="9" s="1"/>
  <c r="U101" i="3"/>
  <c r="T37" i="9" s="1"/>
  <c r="V101" i="3"/>
  <c r="U37" i="9" s="1"/>
  <c r="W101" i="3"/>
  <c r="V37" i="9" s="1"/>
  <c r="X101" i="3"/>
  <c r="Y101" i="3"/>
  <c r="X37" i="9" s="1"/>
  <c r="Z101" i="3"/>
  <c r="Y37" i="9" s="1"/>
  <c r="AA101" i="3"/>
  <c r="Z37" i="9" s="1"/>
  <c r="AB101" i="3"/>
  <c r="AA37" i="9" s="1"/>
  <c r="AC101" i="3"/>
  <c r="AB37" i="9" s="1"/>
  <c r="AD101" i="3"/>
  <c r="AC37" i="9" s="1"/>
  <c r="AE77" i="3"/>
  <c r="AE76" i="3"/>
  <c r="S77" i="3"/>
  <c r="S76" i="3"/>
  <c r="S71" i="3"/>
  <c r="S70" i="3" s="1"/>
  <c r="AE71" i="3"/>
  <c r="AE70" i="3" s="1"/>
  <c r="H70" i="3"/>
  <c r="I70" i="3"/>
  <c r="J70" i="3"/>
  <c r="K70" i="3"/>
  <c r="L70" i="3"/>
  <c r="M70" i="3"/>
  <c r="P70" i="3"/>
  <c r="Q70" i="3"/>
  <c r="R70" i="3"/>
  <c r="T70" i="3"/>
  <c r="U70" i="3"/>
  <c r="V70" i="3"/>
  <c r="W70" i="3"/>
  <c r="X70" i="3"/>
  <c r="Y70" i="3"/>
  <c r="Z70" i="3"/>
  <c r="AA70" i="3"/>
  <c r="AB70" i="3"/>
  <c r="AC70" i="3"/>
  <c r="AD70" i="3"/>
  <c r="E70" i="3"/>
  <c r="S64" i="3"/>
  <c r="S63" i="3" s="1"/>
  <c r="AE64" i="3"/>
  <c r="AE63" i="3" s="1"/>
  <c r="AE66" i="3"/>
  <c r="AE65" i="3" s="1"/>
  <c r="S66" i="3"/>
  <c r="S65" i="3" s="1"/>
  <c r="AE62" i="3"/>
  <c r="AE56" i="3" s="1"/>
  <c r="S62" i="3"/>
  <c r="S56" i="3" s="1"/>
  <c r="E58" i="3"/>
  <c r="S120" i="3" l="1"/>
  <c r="W25" i="9"/>
  <c r="W21" i="9" s="1"/>
  <c r="X55" i="3"/>
  <c r="Y25" i="9"/>
  <c r="Y21" i="9" s="1"/>
  <c r="Z55" i="3"/>
  <c r="P25" i="9"/>
  <c r="P21" i="9" s="1"/>
  <c r="Q55" i="3"/>
  <c r="H25" i="9"/>
  <c r="H21" i="9" s="1"/>
  <c r="I55" i="3"/>
  <c r="X25" i="9"/>
  <c r="X21" i="9" s="1"/>
  <c r="Y55" i="3"/>
  <c r="O25" i="9"/>
  <c r="O21" i="9" s="1"/>
  <c r="P55" i="3"/>
  <c r="G25" i="9"/>
  <c r="G21" i="9" s="1"/>
  <c r="H55" i="3"/>
  <c r="V25" i="9"/>
  <c r="V21" i="9" s="1"/>
  <c r="W55" i="3"/>
  <c r="AC25" i="9"/>
  <c r="AC21" i="9" s="1"/>
  <c r="AD55" i="3"/>
  <c r="U25" i="9"/>
  <c r="U21" i="9" s="1"/>
  <c r="V55" i="3"/>
  <c r="L25" i="9"/>
  <c r="L21" i="9" s="1"/>
  <c r="M55" i="3"/>
  <c r="N25" i="9"/>
  <c r="N21" i="9" s="1"/>
  <c r="O55" i="3"/>
  <c r="M25" i="9"/>
  <c r="M21" i="9" s="1"/>
  <c r="N55" i="3"/>
  <c r="AB25" i="9"/>
  <c r="AB21" i="9" s="1"/>
  <c r="AC55" i="3"/>
  <c r="T25" i="9"/>
  <c r="T21" i="9" s="1"/>
  <c r="U55" i="3"/>
  <c r="K25" i="9"/>
  <c r="K21" i="9" s="1"/>
  <c r="L55" i="3"/>
  <c r="AA25" i="9"/>
  <c r="AA21" i="9" s="1"/>
  <c r="AB55" i="3"/>
  <c r="S25" i="9"/>
  <c r="S21" i="9" s="1"/>
  <c r="T55" i="3"/>
  <c r="J25" i="9"/>
  <c r="J21" i="9" s="1"/>
  <c r="K55" i="3"/>
  <c r="Z25" i="9"/>
  <c r="Z21" i="9" s="1"/>
  <c r="AA55" i="3"/>
  <c r="Q25" i="9"/>
  <c r="Q21" i="9" s="1"/>
  <c r="R55" i="3"/>
  <c r="I25" i="9"/>
  <c r="I21" i="9" s="1"/>
  <c r="J55" i="3"/>
  <c r="AB36" i="9"/>
  <c r="T36" i="9"/>
  <c r="W41" i="9"/>
  <c r="AA36" i="9"/>
  <c r="J36" i="9"/>
  <c r="V41" i="9"/>
  <c r="M41" i="9"/>
  <c r="X36" i="9"/>
  <c r="O36" i="9"/>
  <c r="G36" i="9"/>
  <c r="AA41" i="9"/>
  <c r="AE72" i="3"/>
  <c r="AE55" i="3" s="1"/>
  <c r="S113" i="3"/>
  <c r="E92" i="3"/>
  <c r="E84" i="3" s="1"/>
  <c r="S72" i="3"/>
  <c r="S55" i="3" s="1"/>
  <c r="Z41" i="9"/>
  <c r="Q41" i="9"/>
  <c r="I41" i="9"/>
  <c r="K36" i="9"/>
  <c r="N41" i="9"/>
  <c r="Z36" i="9"/>
  <c r="Q36" i="9"/>
  <c r="I36" i="9"/>
  <c r="J41" i="9"/>
  <c r="AC36" i="9"/>
  <c r="U36" i="9"/>
  <c r="L36" i="9"/>
  <c r="X41" i="9"/>
  <c r="O41" i="9"/>
  <c r="G41" i="9"/>
  <c r="R39" i="9"/>
  <c r="AD44" i="9"/>
  <c r="S36" i="9"/>
  <c r="R38" i="9"/>
  <c r="AC41" i="9"/>
  <c r="U41" i="9"/>
  <c r="L41" i="9"/>
  <c r="AD43" i="9"/>
  <c r="Y36" i="9"/>
  <c r="P36" i="9"/>
  <c r="H36" i="9"/>
  <c r="AD39" i="9"/>
  <c r="AB41" i="9"/>
  <c r="T41" i="9"/>
  <c r="K41" i="9"/>
  <c r="R44" i="9"/>
  <c r="AD42" i="9"/>
  <c r="S41" i="9"/>
  <c r="R43" i="9"/>
  <c r="X100" i="3"/>
  <c r="W37" i="9"/>
  <c r="W36" i="9" s="1"/>
  <c r="O100" i="3"/>
  <c r="N37" i="9"/>
  <c r="N36" i="9" s="1"/>
  <c r="AD38" i="9"/>
  <c r="V36" i="9"/>
  <c r="M36" i="9"/>
  <c r="Y41" i="9"/>
  <c r="P41" i="9"/>
  <c r="R42" i="9"/>
  <c r="H41" i="9"/>
  <c r="F30" i="9"/>
  <c r="F29" i="9" s="1"/>
  <c r="D29" i="9"/>
  <c r="W112" i="3"/>
  <c r="AE116" i="3"/>
  <c r="AE108" i="3"/>
  <c r="AE113" i="3"/>
  <c r="N112" i="3"/>
  <c r="G86" i="3"/>
  <c r="G85" i="3" s="1"/>
  <c r="F85" i="3"/>
  <c r="F84" i="3" s="1"/>
  <c r="G58" i="3"/>
  <c r="G93" i="3"/>
  <c r="G92" i="3" s="1"/>
  <c r="E119" i="3"/>
  <c r="G119" i="3" s="1"/>
  <c r="AD112" i="3"/>
  <c r="V112" i="3"/>
  <c r="M112" i="3"/>
  <c r="AE120" i="3"/>
  <c r="F115" i="3"/>
  <c r="G115" i="3" s="1"/>
  <c r="Z112" i="3"/>
  <c r="I112" i="3"/>
  <c r="AB100" i="3"/>
  <c r="T100" i="3"/>
  <c r="K100" i="3"/>
  <c r="Y112" i="3"/>
  <c r="H112" i="3"/>
  <c r="F103" i="3"/>
  <c r="G103" i="3" s="1"/>
  <c r="O112" i="3"/>
  <c r="AA112" i="3"/>
  <c r="R112" i="3"/>
  <c r="J112" i="3"/>
  <c r="AC112" i="3"/>
  <c r="U112" i="3"/>
  <c r="L112" i="3"/>
  <c r="AB112" i="3"/>
  <c r="X112" i="3"/>
  <c r="T112" i="3"/>
  <c r="K112" i="3"/>
  <c r="Q112" i="3"/>
  <c r="P112" i="3"/>
  <c r="S116" i="3"/>
  <c r="E118" i="3"/>
  <c r="G118" i="3" s="1"/>
  <c r="E117" i="3"/>
  <c r="F106" i="3"/>
  <c r="F107" i="3"/>
  <c r="G107" i="3" s="1"/>
  <c r="AA100" i="3"/>
  <c r="W100" i="3"/>
  <c r="R100" i="3"/>
  <c r="N100" i="3"/>
  <c r="J100" i="3"/>
  <c r="S108" i="3"/>
  <c r="AE105" i="3"/>
  <c r="AC100" i="3"/>
  <c r="Y100" i="3"/>
  <c r="U100" i="3"/>
  <c r="P100" i="3"/>
  <c r="L100" i="3"/>
  <c r="H100" i="3"/>
  <c r="AD100" i="3"/>
  <c r="Z100" i="3"/>
  <c r="V100" i="3"/>
  <c r="M100" i="3"/>
  <c r="I100" i="3"/>
  <c r="F110" i="3"/>
  <c r="G110" i="3" s="1"/>
  <c r="F109" i="3"/>
  <c r="G109" i="3" s="1"/>
  <c r="Q100" i="3"/>
  <c r="S105" i="3"/>
  <c r="S101" i="3"/>
  <c r="AE101" i="3"/>
  <c r="F104" i="3"/>
  <c r="G104" i="3" s="1"/>
  <c r="F64" i="3"/>
  <c r="F63" i="3" s="1"/>
  <c r="F71" i="3"/>
  <c r="E62" i="3"/>
  <c r="G62" i="3" s="1"/>
  <c r="G84" i="3" l="1"/>
  <c r="S112" i="3"/>
  <c r="AD25" i="9"/>
  <c r="AD21" i="9" s="1"/>
  <c r="R25" i="9"/>
  <c r="D43" i="9"/>
  <c r="F43" i="9" s="1"/>
  <c r="AD37" i="9"/>
  <c r="E44" i="9"/>
  <c r="F44" i="9" s="1"/>
  <c r="E39" i="9"/>
  <c r="F39" i="9" s="1"/>
  <c r="AE112" i="3"/>
  <c r="E38" i="9"/>
  <c r="F38" i="9" s="1"/>
  <c r="R37" i="9"/>
  <c r="AD41" i="9"/>
  <c r="E42" i="9"/>
  <c r="R41" i="9"/>
  <c r="E56" i="3"/>
  <c r="G56" i="3"/>
  <c r="F105" i="3"/>
  <c r="G106" i="3"/>
  <c r="G105" i="3" s="1"/>
  <c r="G117" i="3"/>
  <c r="G116" i="3" s="1"/>
  <c r="E116" i="3"/>
  <c r="AE100" i="3"/>
  <c r="F108" i="3"/>
  <c r="S100" i="3"/>
  <c r="G64" i="3"/>
  <c r="G63" i="3" s="1"/>
  <c r="F70" i="3"/>
  <c r="F55" i="3" s="1"/>
  <c r="G71" i="3"/>
  <c r="G70" i="3" s="1"/>
  <c r="D11" i="11" l="1"/>
  <c r="AD36" i="9"/>
  <c r="G11" i="11"/>
  <c r="E25" i="9"/>
  <c r="F25" i="9" s="1"/>
  <c r="F21" i="9" s="1"/>
  <c r="R21" i="9"/>
  <c r="D41" i="9"/>
  <c r="F42" i="9"/>
  <c r="F41" i="9" s="1"/>
  <c r="E41" i="9"/>
  <c r="E37" i="9"/>
  <c r="R36" i="9"/>
  <c r="F11" i="3"/>
  <c r="J11" i="11" l="1"/>
  <c r="E21" i="9"/>
  <c r="AA7" i="9"/>
  <c r="J7" i="9"/>
  <c r="H7" i="9"/>
  <c r="E36" i="9"/>
  <c r="F37" i="9"/>
  <c r="F36" i="9" s="1"/>
  <c r="X7" i="9"/>
  <c r="O7" i="9"/>
  <c r="Z7" i="9"/>
  <c r="Q7" i="9"/>
  <c r="I7" i="9"/>
  <c r="M7" i="9"/>
  <c r="AC7" i="9"/>
  <c r="U7" i="9"/>
  <c r="L7" i="9"/>
  <c r="Y7" i="9"/>
  <c r="N7" i="9"/>
  <c r="V7" i="9"/>
  <c r="AB7" i="9"/>
  <c r="T7" i="9"/>
  <c r="K7" i="9"/>
  <c r="E15" i="9"/>
  <c r="G7" i="9"/>
  <c r="R11" i="9"/>
  <c r="C11" i="11" s="1"/>
  <c r="AD11" i="9"/>
  <c r="F11" i="11" s="1"/>
  <c r="H11" i="11" s="1"/>
  <c r="S7" i="9"/>
  <c r="P7" i="9"/>
  <c r="W7" i="9"/>
  <c r="T7" i="3"/>
  <c r="I11" i="11" l="1"/>
  <c r="K11" i="11" s="1"/>
  <c r="E11" i="11"/>
  <c r="F15" i="9"/>
  <c r="AD10" i="9"/>
  <c r="AD7" i="9" s="1"/>
  <c r="D11" i="9"/>
  <c r="E17" i="9"/>
  <c r="F17" i="9" s="1"/>
  <c r="R10" i="9"/>
  <c r="R7" i="9" s="1"/>
  <c r="AE50" i="3"/>
  <c r="S50" i="3"/>
  <c r="S33" i="3"/>
  <c r="AE33" i="3"/>
  <c r="E10" i="9" l="1"/>
  <c r="D10" i="9"/>
  <c r="F11" i="9"/>
  <c r="Y7" i="3"/>
  <c r="K7" i="3"/>
  <c r="L7" i="3"/>
  <c r="Z7" i="3"/>
  <c r="AB7" i="3"/>
  <c r="X7" i="3"/>
  <c r="R7" i="3"/>
  <c r="J7" i="3"/>
  <c r="AA7" i="3"/>
  <c r="W7" i="3"/>
  <c r="Q7" i="3"/>
  <c r="M7" i="3"/>
  <c r="I7" i="3"/>
  <c r="U7" i="3"/>
  <c r="V7" i="3"/>
  <c r="AC7" i="3"/>
  <c r="O7" i="3"/>
  <c r="H7" i="3"/>
  <c r="P7" i="3"/>
  <c r="AD7" i="3"/>
  <c r="N7" i="3"/>
  <c r="E50" i="3"/>
  <c r="G50" i="3" s="1"/>
  <c r="E33" i="3"/>
  <c r="G33" i="3" l="1"/>
  <c r="S36" i="3" l="1"/>
  <c r="S35" i="3" s="1"/>
  <c r="F36" i="3" l="1"/>
  <c r="F35" i="3" s="1"/>
  <c r="G36" i="3" l="1"/>
  <c r="G35" i="3" s="1"/>
  <c r="AE26" i="3" l="1"/>
  <c r="AE30" i="3"/>
  <c r="AE31" i="3"/>
  <c r="AE27" i="3"/>
  <c r="AE28" i="3"/>
  <c r="AE34" i="3"/>
  <c r="AE32" i="3" s="1"/>
  <c r="AE38" i="3"/>
  <c r="AE37" i="3" s="1"/>
  <c r="AE40" i="3"/>
  <c r="AE41" i="3"/>
  <c r="AE42" i="3"/>
  <c r="AE52" i="3"/>
  <c r="AE53" i="3"/>
  <c r="AE49" i="3"/>
  <c r="AE43" i="3" s="1"/>
  <c r="AE19" i="3"/>
  <c r="AE11" i="3" s="1"/>
  <c r="S38" i="3"/>
  <c r="S37" i="3" s="1"/>
  <c r="S40" i="3"/>
  <c r="S41" i="3"/>
  <c r="S42" i="3"/>
  <c r="F42" i="3" s="1"/>
  <c r="G42" i="3" s="1"/>
  <c r="S52" i="3"/>
  <c r="S53" i="3"/>
  <c r="S49" i="3"/>
  <c r="S43" i="3" s="1"/>
  <c r="S19" i="3"/>
  <c r="S26" i="3"/>
  <c r="S30" i="3"/>
  <c r="S31" i="3"/>
  <c r="S27" i="3"/>
  <c r="S28" i="3"/>
  <c r="S34" i="3"/>
  <c r="S32" i="3" s="1"/>
  <c r="AE51" i="3" l="1"/>
  <c r="AE20" i="3"/>
  <c r="S39" i="3"/>
  <c r="S20" i="3"/>
  <c r="AE29" i="3"/>
  <c r="S29" i="3"/>
  <c r="AE39" i="3"/>
  <c r="S51" i="3"/>
  <c r="E27" i="3"/>
  <c r="G27" i="3" s="1"/>
  <c r="S11" i="3"/>
  <c r="F52" i="3"/>
  <c r="E38" i="3"/>
  <c r="E37" i="3" s="1"/>
  <c r="E19" i="3"/>
  <c r="E11" i="3" s="1"/>
  <c r="E49" i="3"/>
  <c r="E43" i="3" s="1"/>
  <c r="F53" i="3"/>
  <c r="G53" i="3" s="1"/>
  <c r="F41" i="3"/>
  <c r="G41" i="3" s="1"/>
  <c r="F40" i="3"/>
  <c r="E34" i="3"/>
  <c r="E32" i="3" s="1"/>
  <c r="F30" i="3"/>
  <c r="F31" i="3"/>
  <c r="G31" i="3" s="1"/>
  <c r="E28" i="3"/>
  <c r="G28" i="3" s="1"/>
  <c r="S10" i="3" l="1"/>
  <c r="S7" i="3" s="1"/>
  <c r="F39" i="3"/>
  <c r="AE10" i="3"/>
  <c r="AE7" i="3" s="1"/>
  <c r="F29" i="3"/>
  <c r="F51" i="3"/>
  <c r="G40" i="3"/>
  <c r="G39" i="3" s="1"/>
  <c r="G34" i="3"/>
  <c r="G32" i="3" s="1"/>
  <c r="G52" i="3"/>
  <c r="G51" i="3" s="1"/>
  <c r="G49" i="3"/>
  <c r="G43" i="3" s="1"/>
  <c r="G38" i="3"/>
  <c r="G37" i="3" s="1"/>
  <c r="G19" i="3"/>
  <c r="G11" i="3" s="1"/>
  <c r="G30" i="3"/>
  <c r="G29" i="3" s="1"/>
  <c r="F10" i="3" l="1"/>
  <c r="E7" i="9"/>
  <c r="AF78" i="8" l="1"/>
  <c r="AE12" i="8" l="1"/>
  <c r="S12" i="8"/>
  <c r="F23" i="8"/>
  <c r="H23" i="8"/>
  <c r="I23" i="8"/>
  <c r="J23" i="8"/>
  <c r="K23" i="8"/>
  <c r="L23" i="8"/>
  <c r="M23" i="8"/>
  <c r="N23" i="8"/>
  <c r="O23" i="8"/>
  <c r="P23" i="8"/>
  <c r="Q23" i="8"/>
  <c r="R23" i="8"/>
  <c r="T23" i="8"/>
  <c r="U23" i="8"/>
  <c r="V23" i="8"/>
  <c r="W23" i="8"/>
  <c r="X23" i="8"/>
  <c r="Y23" i="8"/>
  <c r="Z23" i="8"/>
  <c r="AA23" i="8"/>
  <c r="AB23" i="8"/>
  <c r="AC23" i="8"/>
  <c r="AD23" i="8"/>
  <c r="AE24" i="8"/>
  <c r="S24" i="8"/>
  <c r="E12" i="8" l="1"/>
  <c r="G12" i="8" s="1"/>
  <c r="E24" i="8"/>
  <c r="G24" i="8" l="1"/>
  <c r="F51" i="8" l="1"/>
  <c r="H51" i="8"/>
  <c r="I51" i="8"/>
  <c r="J51" i="8"/>
  <c r="K51" i="8"/>
  <c r="L51" i="8"/>
  <c r="M51" i="8"/>
  <c r="N51" i="8"/>
  <c r="O51" i="8"/>
  <c r="P51" i="8"/>
  <c r="Q51" i="8"/>
  <c r="R51" i="8"/>
  <c r="T51" i="8"/>
  <c r="U51" i="8"/>
  <c r="V51" i="8"/>
  <c r="W51" i="8"/>
  <c r="X51" i="8"/>
  <c r="Y51" i="8"/>
  <c r="Z51" i="8"/>
  <c r="AA51" i="8"/>
  <c r="AB51" i="8"/>
  <c r="AC51" i="8"/>
  <c r="AD51" i="8"/>
  <c r="K42" i="8"/>
  <c r="F67" i="8"/>
  <c r="I67" i="8"/>
  <c r="J67" i="8"/>
  <c r="K67" i="8"/>
  <c r="L67" i="8"/>
  <c r="M67" i="8"/>
  <c r="N67" i="8"/>
  <c r="O67" i="8"/>
  <c r="P67" i="8"/>
  <c r="Q67" i="8"/>
  <c r="R67" i="8"/>
  <c r="T67" i="8"/>
  <c r="U67" i="8"/>
  <c r="V67" i="8"/>
  <c r="W67" i="8"/>
  <c r="X67" i="8"/>
  <c r="Y67" i="8"/>
  <c r="Z67" i="8"/>
  <c r="AA67" i="8"/>
  <c r="AB67" i="8"/>
  <c r="AC67" i="8"/>
  <c r="AD67" i="8"/>
  <c r="AE96" i="8"/>
  <c r="S96" i="8"/>
  <c r="AE68" i="8"/>
  <c r="S68" i="8"/>
  <c r="AE53" i="8"/>
  <c r="S53" i="8"/>
  <c r="AE52" i="8"/>
  <c r="S52" i="8"/>
  <c r="AE88" i="8"/>
  <c r="S88" i="8"/>
  <c r="AE89" i="8"/>
  <c r="S89" i="8"/>
  <c r="AE87" i="8"/>
  <c r="S87" i="8"/>
  <c r="E96" i="8" l="1"/>
  <c r="G96" i="8" s="1"/>
  <c r="E68" i="8"/>
  <c r="E53" i="8"/>
  <c r="G53" i="8" s="1"/>
  <c r="E52" i="8"/>
  <c r="E88" i="8"/>
  <c r="G88" i="8" s="1"/>
  <c r="E89" i="8"/>
  <c r="G89" i="8" s="1"/>
  <c r="E87" i="8"/>
  <c r="AD36" i="5"/>
  <c r="AD24" i="5"/>
  <c r="AD23" i="5"/>
  <c r="AD19" i="5"/>
  <c r="AD18" i="5"/>
  <c r="R36" i="5"/>
  <c r="R24" i="5"/>
  <c r="R23" i="5"/>
  <c r="R19" i="5"/>
  <c r="R18" i="5"/>
  <c r="R12" i="5"/>
  <c r="AE100" i="8"/>
  <c r="AE99" i="8" s="1"/>
  <c r="S100" i="8"/>
  <c r="S99" i="8" s="1"/>
  <c r="AE98" i="8"/>
  <c r="S98" i="8"/>
  <c r="AE97" i="8"/>
  <c r="S97" i="8"/>
  <c r="AE93" i="8"/>
  <c r="AE92" i="8" s="1"/>
  <c r="S93" i="8"/>
  <c r="S92" i="8" s="1"/>
  <c r="AE91" i="8"/>
  <c r="S91" i="8"/>
  <c r="AE90" i="8"/>
  <c r="S90" i="8"/>
  <c r="AE83" i="8"/>
  <c r="AE82" i="8" s="1"/>
  <c r="S83" i="8"/>
  <c r="S82" i="8" s="1"/>
  <c r="AE81" i="8"/>
  <c r="S81" i="8"/>
  <c r="AE80" i="8"/>
  <c r="S80" i="8"/>
  <c r="AE77" i="8"/>
  <c r="S77" i="8"/>
  <c r="AE76" i="8"/>
  <c r="S76" i="8"/>
  <c r="AE75" i="8"/>
  <c r="S75" i="8"/>
  <c r="AD74" i="8"/>
  <c r="AC32" i="5" s="1"/>
  <c r="AC74" i="8"/>
  <c r="AB32" i="5" s="1"/>
  <c r="AB74" i="8"/>
  <c r="AA74" i="8"/>
  <c r="Z32" i="5" s="1"/>
  <c r="Z74" i="8"/>
  <c r="Y32" i="5" s="1"/>
  <c r="Y74" i="8"/>
  <c r="X32" i="5" s="1"/>
  <c r="X74" i="8"/>
  <c r="W32" i="5" s="1"/>
  <c r="W74" i="8"/>
  <c r="V32" i="5" s="1"/>
  <c r="V74" i="8"/>
  <c r="U32" i="5" s="1"/>
  <c r="U74" i="8"/>
  <c r="T32" i="5" s="1"/>
  <c r="T74" i="8"/>
  <c r="S32" i="5" s="1"/>
  <c r="R74" i="8"/>
  <c r="Q32" i="5" s="1"/>
  <c r="Q74" i="8"/>
  <c r="P32" i="5" s="1"/>
  <c r="P74" i="8"/>
  <c r="O32" i="5" s="1"/>
  <c r="O74" i="8"/>
  <c r="N32" i="5" s="1"/>
  <c r="N74" i="8"/>
  <c r="M32" i="5" s="1"/>
  <c r="M74" i="8"/>
  <c r="L32" i="5" s="1"/>
  <c r="L74" i="8"/>
  <c r="K32" i="5" s="1"/>
  <c r="K74" i="8"/>
  <c r="J32" i="5" s="1"/>
  <c r="J74" i="8"/>
  <c r="I32" i="5" s="1"/>
  <c r="I74" i="8"/>
  <c r="H32" i="5" s="1"/>
  <c r="H74" i="8"/>
  <c r="G32" i="5" s="1"/>
  <c r="E74" i="8"/>
  <c r="D32" i="5" s="1"/>
  <c r="AE71" i="8"/>
  <c r="S71" i="8"/>
  <c r="AE70" i="8"/>
  <c r="S70" i="8"/>
  <c r="AE69" i="8"/>
  <c r="S69" i="8"/>
  <c r="AC31" i="5"/>
  <c r="AA31" i="5"/>
  <c r="Z31" i="5"/>
  <c r="X31" i="5"/>
  <c r="W31" i="5"/>
  <c r="V31" i="5"/>
  <c r="U31" i="5"/>
  <c r="T31" i="5"/>
  <c r="S31" i="5"/>
  <c r="P31" i="5"/>
  <c r="O31" i="5"/>
  <c r="N31" i="5"/>
  <c r="M31" i="5"/>
  <c r="K31" i="5"/>
  <c r="J31" i="5"/>
  <c r="H31" i="5"/>
  <c r="G31" i="5"/>
  <c r="E31" i="5"/>
  <c r="AE65" i="8"/>
  <c r="AE64" i="8" s="1"/>
  <c r="S65" i="8"/>
  <c r="S64" i="8" s="1"/>
  <c r="AD64" i="8"/>
  <c r="AC29" i="5" s="1"/>
  <c r="AC64" i="8"/>
  <c r="AB29" i="5" s="1"/>
  <c r="AB64" i="8"/>
  <c r="AA29" i="5" s="1"/>
  <c r="AA64" i="8"/>
  <c r="Z29" i="5" s="1"/>
  <c r="Z64" i="8"/>
  <c r="Y29" i="5" s="1"/>
  <c r="Y64" i="8"/>
  <c r="X29" i="5" s="1"/>
  <c r="X64" i="8"/>
  <c r="W29" i="5" s="1"/>
  <c r="W64" i="8"/>
  <c r="V29" i="5" s="1"/>
  <c r="V64" i="8"/>
  <c r="U29" i="5" s="1"/>
  <c r="U64" i="8"/>
  <c r="T29" i="5" s="1"/>
  <c r="T64" i="8"/>
  <c r="S29" i="5" s="1"/>
  <c r="R64" i="8"/>
  <c r="Q29" i="5" s="1"/>
  <c r="Q64" i="8"/>
  <c r="P29" i="5" s="1"/>
  <c r="O64" i="8"/>
  <c r="N29" i="5" s="1"/>
  <c r="N64" i="8"/>
  <c r="M29" i="5" s="1"/>
  <c r="M64" i="8"/>
  <c r="L29" i="5" s="1"/>
  <c r="L64" i="8"/>
  <c r="K29" i="5" s="1"/>
  <c r="K64" i="8"/>
  <c r="J29" i="5" s="1"/>
  <c r="J64" i="8"/>
  <c r="I29" i="5" s="1"/>
  <c r="I64" i="8"/>
  <c r="H29" i="5" s="1"/>
  <c r="H64" i="8"/>
  <c r="G29" i="5" s="1"/>
  <c r="E64" i="8"/>
  <c r="D29" i="5" s="1"/>
  <c r="AE63" i="8"/>
  <c r="AE62" i="8" s="1"/>
  <c r="S63" i="8"/>
  <c r="S62" i="8" s="1"/>
  <c r="AD62" i="8"/>
  <c r="AC28" i="5" s="1"/>
  <c r="AC62" i="8"/>
  <c r="AB28" i="5" s="1"/>
  <c r="AB62" i="8"/>
  <c r="AA28" i="5" s="1"/>
  <c r="AA62" i="8"/>
  <c r="Z28" i="5" s="1"/>
  <c r="Z62" i="8"/>
  <c r="Y28" i="5" s="1"/>
  <c r="Y62" i="8"/>
  <c r="X28" i="5" s="1"/>
  <c r="X62" i="8"/>
  <c r="W28" i="5" s="1"/>
  <c r="W62" i="8"/>
  <c r="V28" i="5" s="1"/>
  <c r="V62" i="8"/>
  <c r="U28" i="5" s="1"/>
  <c r="U62" i="8"/>
  <c r="T62" i="8"/>
  <c r="S28" i="5" s="1"/>
  <c r="R62" i="8"/>
  <c r="Q28" i="5" s="1"/>
  <c r="Q62" i="8"/>
  <c r="P28" i="5" s="1"/>
  <c r="P62" i="8"/>
  <c r="O28" i="5" s="1"/>
  <c r="O62" i="8"/>
  <c r="N28" i="5" s="1"/>
  <c r="N62" i="8"/>
  <c r="M28" i="5" s="1"/>
  <c r="M62" i="8"/>
  <c r="L28" i="5" s="1"/>
  <c r="L62" i="8"/>
  <c r="K28" i="5" s="1"/>
  <c r="K62" i="8"/>
  <c r="J28" i="5" s="1"/>
  <c r="J62" i="8"/>
  <c r="I28" i="5" s="1"/>
  <c r="I62" i="8"/>
  <c r="H28" i="5" s="1"/>
  <c r="H62" i="8"/>
  <c r="G28" i="5" s="1"/>
  <c r="E62" i="8"/>
  <c r="D28" i="5" s="1"/>
  <c r="AE57" i="8"/>
  <c r="AE56" i="8" s="1"/>
  <c r="S57" i="8"/>
  <c r="S56" i="8" s="1"/>
  <c r="AD56" i="8"/>
  <c r="AC27" i="5" s="1"/>
  <c r="AC56" i="8"/>
  <c r="AB27" i="5" s="1"/>
  <c r="AB56" i="8"/>
  <c r="AA27" i="5" s="1"/>
  <c r="AA56" i="8"/>
  <c r="Z27" i="5" s="1"/>
  <c r="Z56" i="8"/>
  <c r="Y27" i="5" s="1"/>
  <c r="Y56" i="8"/>
  <c r="X27" i="5" s="1"/>
  <c r="X56" i="8"/>
  <c r="W27" i="5" s="1"/>
  <c r="W56" i="8"/>
  <c r="V27" i="5" s="1"/>
  <c r="V56" i="8"/>
  <c r="U27" i="5" s="1"/>
  <c r="U56" i="8"/>
  <c r="T27" i="5" s="1"/>
  <c r="T56" i="8"/>
  <c r="S27" i="5" s="1"/>
  <c r="R56" i="8"/>
  <c r="Q27" i="5" s="1"/>
  <c r="Q56" i="8"/>
  <c r="P27" i="5" s="1"/>
  <c r="P56" i="8"/>
  <c r="O56" i="8"/>
  <c r="N27" i="5" s="1"/>
  <c r="N56" i="8"/>
  <c r="M27" i="5" s="1"/>
  <c r="M56" i="8"/>
  <c r="L27" i="5" s="1"/>
  <c r="L56" i="8"/>
  <c r="K27" i="5" s="1"/>
  <c r="K56" i="8"/>
  <c r="J27" i="5" s="1"/>
  <c r="J56" i="8"/>
  <c r="I27" i="5" s="1"/>
  <c r="I56" i="8"/>
  <c r="H27" i="5" s="1"/>
  <c r="H56" i="8"/>
  <c r="G27" i="5" s="1"/>
  <c r="F56" i="8"/>
  <c r="E27" i="5" s="1"/>
  <c r="AE55" i="8"/>
  <c r="S55" i="8"/>
  <c r="AE54" i="8"/>
  <c r="S54" i="8"/>
  <c r="AC26" i="5"/>
  <c r="AA26" i="5"/>
  <c r="Z26" i="5"/>
  <c r="X26" i="5"/>
  <c r="W26" i="5"/>
  <c r="V26" i="5"/>
  <c r="U26" i="5"/>
  <c r="T26" i="5"/>
  <c r="S26" i="5"/>
  <c r="P26" i="5"/>
  <c r="O26" i="5"/>
  <c r="N26" i="5"/>
  <c r="M26" i="5"/>
  <c r="K26" i="5"/>
  <c r="J26" i="5"/>
  <c r="G26" i="5"/>
  <c r="E26" i="5"/>
  <c r="AE47" i="8"/>
  <c r="AE46" i="8" s="1"/>
  <c r="S47" i="8"/>
  <c r="S46" i="8" s="1"/>
  <c r="AD46" i="8"/>
  <c r="AC22" i="5" s="1"/>
  <c r="AC46" i="8"/>
  <c r="AB46" i="8"/>
  <c r="AA46" i="8"/>
  <c r="Z46" i="8"/>
  <c r="Y22" i="5" s="1"/>
  <c r="Y46" i="8"/>
  <c r="X46" i="8"/>
  <c r="W22" i="5" s="1"/>
  <c r="W46" i="8"/>
  <c r="V46" i="8"/>
  <c r="U22" i="5" s="1"/>
  <c r="U46" i="8"/>
  <c r="T46" i="8"/>
  <c r="S22" i="5" s="1"/>
  <c r="R46" i="8"/>
  <c r="Q22" i="5" s="1"/>
  <c r="Q46" i="8"/>
  <c r="P46" i="8"/>
  <c r="O22" i="5" s="1"/>
  <c r="O46" i="8"/>
  <c r="N46" i="8"/>
  <c r="M22" i="5" s="1"/>
  <c r="M46" i="8"/>
  <c r="L46" i="8"/>
  <c r="K46" i="8"/>
  <c r="K41" i="8" s="1"/>
  <c r="J46" i="8"/>
  <c r="I22" i="5" s="1"/>
  <c r="I46" i="8"/>
  <c r="H46" i="8"/>
  <c r="G22" i="5" s="1"/>
  <c r="F46" i="8"/>
  <c r="E22" i="5" s="1"/>
  <c r="AE45" i="8"/>
  <c r="S45" i="8"/>
  <c r="AE44" i="8"/>
  <c r="S44" i="8"/>
  <c r="AE43" i="8"/>
  <c r="S43" i="8"/>
  <c r="AD42" i="8"/>
  <c r="AC42" i="8"/>
  <c r="AB42" i="8"/>
  <c r="AA42" i="8"/>
  <c r="Z42" i="8"/>
  <c r="Y42" i="8"/>
  <c r="X42" i="8"/>
  <c r="W42" i="8"/>
  <c r="V42" i="8"/>
  <c r="U42" i="8"/>
  <c r="T42" i="8"/>
  <c r="R42" i="8"/>
  <c r="Q42" i="8"/>
  <c r="P42" i="8"/>
  <c r="O42" i="8"/>
  <c r="N42" i="8"/>
  <c r="M42" i="8"/>
  <c r="L42" i="8"/>
  <c r="J42" i="8"/>
  <c r="I42" i="8"/>
  <c r="H42" i="8"/>
  <c r="F42" i="8"/>
  <c r="AE38" i="8"/>
  <c r="AE37" i="8" s="1"/>
  <c r="S38" i="8"/>
  <c r="S37" i="8" s="1"/>
  <c r="AE36" i="8"/>
  <c r="AE35" i="8" s="1"/>
  <c r="S36" i="8"/>
  <c r="S35" i="8" s="1"/>
  <c r="AE32" i="8"/>
  <c r="S32" i="8"/>
  <c r="AD31" i="8"/>
  <c r="AC31" i="8"/>
  <c r="AB31" i="8"/>
  <c r="AA31" i="8"/>
  <c r="Z31" i="8"/>
  <c r="Y31" i="8"/>
  <c r="X31" i="8"/>
  <c r="X22" i="8" s="1"/>
  <c r="W31" i="8"/>
  <c r="V31" i="8"/>
  <c r="V22" i="8" s="1"/>
  <c r="U31" i="8"/>
  <c r="T31" i="8"/>
  <c r="R31" i="8"/>
  <c r="Q31" i="8"/>
  <c r="P31" i="8"/>
  <c r="O31" i="8"/>
  <c r="N31" i="8"/>
  <c r="M31" i="8"/>
  <c r="L31" i="8"/>
  <c r="K31" i="8"/>
  <c r="J31" i="8"/>
  <c r="I31" i="8"/>
  <c r="H31" i="8"/>
  <c r="H22" i="8" s="1"/>
  <c r="F31" i="8"/>
  <c r="AE30" i="8"/>
  <c r="S30" i="8"/>
  <c r="AE29" i="8"/>
  <c r="S29" i="8"/>
  <c r="AE26" i="8"/>
  <c r="S26" i="8"/>
  <c r="AE25" i="8"/>
  <c r="S25" i="8"/>
  <c r="W14" i="5"/>
  <c r="U14" i="5"/>
  <c r="S14" i="5"/>
  <c r="L14" i="5"/>
  <c r="K14" i="5"/>
  <c r="H14" i="5"/>
  <c r="G14" i="5"/>
  <c r="E14" i="5"/>
  <c r="AE20" i="8"/>
  <c r="S20" i="8"/>
  <c r="AE19" i="8"/>
  <c r="S19" i="8"/>
  <c r="AD18" i="8"/>
  <c r="AC18" i="8"/>
  <c r="AB11" i="5" s="1"/>
  <c r="AB18" i="8"/>
  <c r="AA11" i="5" s="1"/>
  <c r="AA18" i="8"/>
  <c r="Z11" i="5" s="1"/>
  <c r="Z18" i="8"/>
  <c r="Y18" i="8"/>
  <c r="X11" i="5" s="1"/>
  <c r="X18" i="8"/>
  <c r="W11" i="5" s="1"/>
  <c r="W18" i="8"/>
  <c r="V11" i="5" s="1"/>
  <c r="V18" i="8"/>
  <c r="U18" i="8"/>
  <c r="T11" i="5" s="1"/>
  <c r="T18" i="8"/>
  <c r="S11" i="5" s="1"/>
  <c r="R18" i="8"/>
  <c r="Q11" i="5" s="1"/>
  <c r="Q18" i="8"/>
  <c r="P11" i="5" s="1"/>
  <c r="P18" i="8"/>
  <c r="O11" i="5" s="1"/>
  <c r="O18" i="8"/>
  <c r="N11" i="5" s="1"/>
  <c r="N18" i="8"/>
  <c r="M11" i="5" s="1"/>
  <c r="M18" i="8"/>
  <c r="L11" i="5" s="1"/>
  <c r="L18" i="8"/>
  <c r="K11" i="5" s="1"/>
  <c r="K18" i="8"/>
  <c r="J11" i="5" s="1"/>
  <c r="J18" i="8"/>
  <c r="I11" i="5" s="1"/>
  <c r="I18" i="8"/>
  <c r="H11" i="5" s="1"/>
  <c r="H18" i="8"/>
  <c r="G11" i="5" s="1"/>
  <c r="F18" i="8"/>
  <c r="AE17" i="8"/>
  <c r="S17" i="8"/>
  <c r="AE16" i="8"/>
  <c r="S16" i="8"/>
  <c r="L11" i="8"/>
  <c r="S15" i="8"/>
  <c r="S14" i="8"/>
  <c r="AD11" i="8"/>
  <c r="AC10" i="5" s="1"/>
  <c r="AC11" i="8"/>
  <c r="AB11" i="8"/>
  <c r="AA10" i="5" s="1"/>
  <c r="AA11" i="8"/>
  <c r="Z11" i="8"/>
  <c r="Y10" i="5" s="1"/>
  <c r="Y11" i="8"/>
  <c r="R11" i="8"/>
  <c r="Q10" i="5" s="1"/>
  <c r="Q11" i="8"/>
  <c r="P11" i="8"/>
  <c r="O10" i="5" s="1"/>
  <c r="O11" i="8"/>
  <c r="N11" i="8"/>
  <c r="M10" i="5" s="1"/>
  <c r="M11" i="8"/>
  <c r="J11" i="8"/>
  <c r="I10" i="5" s="1"/>
  <c r="I11" i="8"/>
  <c r="H11" i="8"/>
  <c r="G10" i="5" s="1"/>
  <c r="F11" i="8"/>
  <c r="E10" i="5" s="1"/>
  <c r="AE95" i="8" l="1"/>
  <c r="AE94" i="8" s="1"/>
  <c r="O41" i="8"/>
  <c r="X41" i="8"/>
  <c r="S95" i="8"/>
  <c r="S94" i="8" s="1"/>
  <c r="I41" i="8"/>
  <c r="Q41" i="8"/>
  <c r="S79" i="8"/>
  <c r="S78" i="8" s="1"/>
  <c r="S86" i="8"/>
  <c r="S85" i="8" s="1"/>
  <c r="AE79" i="8"/>
  <c r="AE78" i="8" s="1"/>
  <c r="AE86" i="8"/>
  <c r="AE85" i="8" s="1"/>
  <c r="M15" i="5"/>
  <c r="N22" i="8"/>
  <c r="V15" i="5"/>
  <c r="W22" i="8"/>
  <c r="Y41" i="8"/>
  <c r="N15" i="5"/>
  <c r="O22" i="8"/>
  <c r="O15" i="5"/>
  <c r="P22" i="8"/>
  <c r="X15" i="5"/>
  <c r="Y22" i="8"/>
  <c r="E15" i="5"/>
  <c r="H15" i="5"/>
  <c r="H13" i="5" s="1"/>
  <c r="I22" i="8"/>
  <c r="P15" i="5"/>
  <c r="Q22" i="8"/>
  <c r="Y15" i="5"/>
  <c r="Z22" i="8"/>
  <c r="J41" i="8"/>
  <c r="AC15" i="5"/>
  <c r="AD22" i="8"/>
  <c r="I15" i="5"/>
  <c r="J22" i="8"/>
  <c r="Q15" i="5"/>
  <c r="R22" i="8"/>
  <c r="Z15" i="5"/>
  <c r="AA22" i="8"/>
  <c r="L15" i="5"/>
  <c r="L13" i="5" s="1"/>
  <c r="M22" i="8"/>
  <c r="J15" i="5"/>
  <c r="K22" i="8"/>
  <c r="AA15" i="5"/>
  <c r="AB22" i="8"/>
  <c r="S15" i="5"/>
  <c r="S13" i="5" s="1"/>
  <c r="T22" i="8"/>
  <c r="K15" i="5"/>
  <c r="K13" i="5" s="1"/>
  <c r="L22" i="8"/>
  <c r="T15" i="5"/>
  <c r="U22" i="8"/>
  <c r="AB15" i="5"/>
  <c r="AC22" i="8"/>
  <c r="AE51" i="8"/>
  <c r="AE50" i="8" s="1"/>
  <c r="AE67" i="8"/>
  <c r="S21" i="5"/>
  <c r="S20" i="5" s="1"/>
  <c r="T41" i="8"/>
  <c r="AA21" i="5"/>
  <c r="AB41" i="8"/>
  <c r="K21" i="5"/>
  <c r="L41" i="8"/>
  <c r="T21" i="5"/>
  <c r="U41" i="8"/>
  <c r="AB21" i="5"/>
  <c r="AC41" i="8"/>
  <c r="L21" i="5"/>
  <c r="M41" i="8"/>
  <c r="U21" i="5"/>
  <c r="U20" i="5" s="1"/>
  <c r="V41" i="8"/>
  <c r="AC21" i="5"/>
  <c r="AC20" i="5" s="1"/>
  <c r="AD41" i="8"/>
  <c r="M21" i="5"/>
  <c r="M20" i="5" s="1"/>
  <c r="N41" i="8"/>
  <c r="W41" i="8"/>
  <c r="E21" i="5"/>
  <c r="E20" i="5" s="1"/>
  <c r="F41" i="8"/>
  <c r="O21" i="5"/>
  <c r="O20" i="5" s="1"/>
  <c r="P41" i="8"/>
  <c r="G21" i="5"/>
  <c r="G20" i="5" s="1"/>
  <c r="H41" i="8"/>
  <c r="Y21" i="5"/>
  <c r="Y20" i="5" s="1"/>
  <c r="Z41" i="8"/>
  <c r="Q21" i="5"/>
  <c r="Q20" i="5" s="1"/>
  <c r="R41" i="8"/>
  <c r="AA41" i="8"/>
  <c r="AA10" i="8"/>
  <c r="S51" i="8"/>
  <c r="S50" i="8" s="1"/>
  <c r="AC66" i="8"/>
  <c r="E90" i="8"/>
  <c r="G68" i="8"/>
  <c r="S67" i="8"/>
  <c r="G52" i="8"/>
  <c r="I10" i="8"/>
  <c r="Y10" i="8"/>
  <c r="AC10" i="8"/>
  <c r="E91" i="8"/>
  <c r="F100" i="8"/>
  <c r="F99" i="8" s="1"/>
  <c r="F94" i="8" s="1"/>
  <c r="G87" i="8"/>
  <c r="AE18" i="8"/>
  <c r="X14" i="5"/>
  <c r="P66" i="8"/>
  <c r="AC14" i="5"/>
  <c r="U66" i="8"/>
  <c r="M66" i="8"/>
  <c r="I50" i="8"/>
  <c r="M50" i="8"/>
  <c r="H66" i="8"/>
  <c r="Y66" i="8"/>
  <c r="E97" i="8"/>
  <c r="R50" i="8"/>
  <c r="L66" i="8"/>
  <c r="E98" i="8"/>
  <c r="G98" i="8" s="1"/>
  <c r="M10" i="8"/>
  <c r="Q10" i="8"/>
  <c r="E36" i="8"/>
  <c r="AD50" i="8"/>
  <c r="P64" i="8"/>
  <c r="O29" i="5" s="1"/>
  <c r="R29" i="5" s="1"/>
  <c r="V66" i="8"/>
  <c r="H21" i="5"/>
  <c r="H26" i="5"/>
  <c r="H25" i="5" s="1"/>
  <c r="W21" i="5"/>
  <c r="W20" i="5" s="1"/>
  <c r="AE14" i="8"/>
  <c r="E14" i="8" s="1"/>
  <c r="G14" i="8" s="1"/>
  <c r="V11" i="8"/>
  <c r="U10" i="5" s="1"/>
  <c r="AD66" i="8"/>
  <c r="M30" i="5"/>
  <c r="J30" i="5"/>
  <c r="N30" i="5"/>
  <c r="AB66" i="8"/>
  <c r="O10" i="8"/>
  <c r="AB10" i="8"/>
  <c r="F93" i="8"/>
  <c r="F92" i="8" s="1"/>
  <c r="F85" i="8" s="1"/>
  <c r="I9" i="5"/>
  <c r="W30" i="5"/>
  <c r="AE27" i="8"/>
  <c r="J22" i="5"/>
  <c r="V14" i="5"/>
  <c r="H10" i="8"/>
  <c r="M9" i="5"/>
  <c r="Q9" i="5"/>
  <c r="L10" i="8"/>
  <c r="W11" i="8"/>
  <c r="E17" i="8"/>
  <c r="G17" i="8" s="1"/>
  <c r="U11" i="5"/>
  <c r="Z10" i="8"/>
  <c r="Y11" i="5"/>
  <c r="Y9" i="5" s="1"/>
  <c r="AD10" i="8"/>
  <c r="AC11" i="5"/>
  <c r="AC9" i="5" s="1"/>
  <c r="E20" i="8"/>
  <c r="G20" i="8" s="1"/>
  <c r="E30" i="8"/>
  <c r="U15" i="5"/>
  <c r="U13" i="5" s="1"/>
  <c r="F38" i="8"/>
  <c r="AE42" i="8"/>
  <c r="AE41" i="8" s="1"/>
  <c r="AA22" i="5"/>
  <c r="I66" i="8"/>
  <c r="Q66" i="8"/>
  <c r="X66" i="8"/>
  <c r="G30" i="5"/>
  <c r="AB10" i="5"/>
  <c r="AB9" i="5" s="1"/>
  <c r="X10" i="5"/>
  <c r="X9" i="5" s="1"/>
  <c r="O27" i="5"/>
  <c r="R27" i="5" s="1"/>
  <c r="AA32" i="5"/>
  <c r="AA30" i="5" s="1"/>
  <c r="J50" i="8"/>
  <c r="I26" i="5"/>
  <c r="I25" i="5" s="1"/>
  <c r="J66" i="8"/>
  <c r="I31" i="5"/>
  <c r="I30" i="5" s="1"/>
  <c r="P10" i="8"/>
  <c r="U11" i="8"/>
  <c r="T11" i="8"/>
  <c r="X11" i="8"/>
  <c r="T14" i="5"/>
  <c r="E26" i="8"/>
  <c r="G26" i="8" s="1"/>
  <c r="AE28" i="8"/>
  <c r="V21" i="5"/>
  <c r="Z21" i="5"/>
  <c r="E43" i="8"/>
  <c r="H22" i="5"/>
  <c r="L22" i="5"/>
  <c r="P22" i="5"/>
  <c r="T22" i="5"/>
  <c r="X22" i="5"/>
  <c r="AB22" i="5"/>
  <c r="AC50" i="8"/>
  <c r="AB26" i="5"/>
  <c r="AB25" i="5" s="1"/>
  <c r="T66" i="8"/>
  <c r="F76" i="8"/>
  <c r="G76" i="8" s="1"/>
  <c r="K22" i="5"/>
  <c r="L31" i="5"/>
  <c r="L30" i="5" s="1"/>
  <c r="Z22" i="5"/>
  <c r="AB31" i="5"/>
  <c r="AB30" i="5" s="1"/>
  <c r="G15" i="5"/>
  <c r="X21" i="5"/>
  <c r="N22" i="5"/>
  <c r="R66" i="8"/>
  <c r="Q31" i="5"/>
  <c r="Q30" i="5" s="1"/>
  <c r="F10" i="8"/>
  <c r="E11" i="5"/>
  <c r="E9" i="5" s="1"/>
  <c r="E19" i="8"/>
  <c r="G19" i="8" s="1"/>
  <c r="W15" i="5"/>
  <c r="W13" i="5" s="1"/>
  <c r="T50" i="8"/>
  <c r="Z50" i="8"/>
  <c r="Y26" i="5"/>
  <c r="Y25" i="5" s="1"/>
  <c r="U50" i="8"/>
  <c r="T28" i="5"/>
  <c r="T25" i="5" s="1"/>
  <c r="N66" i="8"/>
  <c r="Z66" i="8"/>
  <c r="Y31" i="5"/>
  <c r="Y30" i="5" s="1"/>
  <c r="F75" i="8"/>
  <c r="G75" i="8" s="1"/>
  <c r="F77" i="8"/>
  <c r="G77" i="8" s="1"/>
  <c r="F83" i="8"/>
  <c r="F82" i="8" s="1"/>
  <c r="F78" i="8" s="1"/>
  <c r="Z10" i="5"/>
  <c r="Z9" i="5" s="1"/>
  <c r="Q26" i="5"/>
  <c r="Q25" i="5" s="1"/>
  <c r="V22" i="5"/>
  <c r="E16" i="8"/>
  <c r="G16" i="8" s="1"/>
  <c r="E32" i="8"/>
  <c r="G32" i="8" s="1"/>
  <c r="E45" i="8"/>
  <c r="G45" i="8" s="1"/>
  <c r="S30" i="5"/>
  <c r="E57" i="8"/>
  <c r="E56" i="8" s="1"/>
  <c r="D27" i="5" s="1"/>
  <c r="F27" i="5" s="1"/>
  <c r="E70" i="8"/>
  <c r="G70" i="8" s="1"/>
  <c r="E81" i="8"/>
  <c r="I21" i="5"/>
  <c r="I20" i="5" s="1"/>
  <c r="H10" i="5"/>
  <c r="H9" i="5" s="1"/>
  <c r="N14" i="5"/>
  <c r="N21" i="5"/>
  <c r="P21" i="5"/>
  <c r="Y50" i="8"/>
  <c r="E55" i="8"/>
  <c r="G55" i="8" s="1"/>
  <c r="AB50" i="8"/>
  <c r="X50" i="8"/>
  <c r="V50" i="8"/>
  <c r="N50" i="8"/>
  <c r="L50" i="8"/>
  <c r="L26" i="5"/>
  <c r="L25" i="5" s="1"/>
  <c r="Q50" i="8"/>
  <c r="H50" i="8"/>
  <c r="J21" i="5"/>
  <c r="S42" i="8"/>
  <c r="S41" i="8" s="1"/>
  <c r="J10" i="8"/>
  <c r="J14" i="5"/>
  <c r="Q14" i="5"/>
  <c r="M14" i="5"/>
  <c r="P14" i="5"/>
  <c r="I14" i="5"/>
  <c r="R10" i="8"/>
  <c r="N10" i="5"/>
  <c r="N9" i="5" s="1"/>
  <c r="P10" i="5"/>
  <c r="P9" i="5" s="1"/>
  <c r="N10" i="8"/>
  <c r="L10" i="5"/>
  <c r="L9" i="5" s="1"/>
  <c r="K10" i="5"/>
  <c r="K9" i="5" s="1"/>
  <c r="O30" i="5"/>
  <c r="AA25" i="5"/>
  <c r="AC30" i="5"/>
  <c r="U30" i="5"/>
  <c r="AA9" i="5"/>
  <c r="O9" i="5"/>
  <c r="K25" i="5"/>
  <c r="M25" i="5"/>
  <c r="R28" i="5"/>
  <c r="K30" i="5"/>
  <c r="W25" i="5"/>
  <c r="AC25" i="5"/>
  <c r="U25" i="5"/>
  <c r="T30" i="5"/>
  <c r="Z30" i="5"/>
  <c r="R16" i="5"/>
  <c r="G9" i="5"/>
  <c r="AD29" i="5"/>
  <c r="X30" i="5"/>
  <c r="R11" i="5"/>
  <c r="AD16" i="5"/>
  <c r="V30" i="5"/>
  <c r="G25" i="5"/>
  <c r="X25" i="5"/>
  <c r="Z25" i="5"/>
  <c r="V25" i="5"/>
  <c r="AD27" i="5"/>
  <c r="S25" i="5"/>
  <c r="P30" i="5"/>
  <c r="H30" i="5"/>
  <c r="R32" i="5"/>
  <c r="P25" i="5"/>
  <c r="N25" i="5"/>
  <c r="J25" i="5"/>
  <c r="S11" i="8"/>
  <c r="S18" i="8"/>
  <c r="S27" i="8"/>
  <c r="S31" i="8"/>
  <c r="AE31" i="8"/>
  <c r="E44" i="8"/>
  <c r="E47" i="8"/>
  <c r="E46" i="8" s="1"/>
  <c r="E54" i="8"/>
  <c r="F63" i="8"/>
  <c r="F65" i="8"/>
  <c r="E69" i="8"/>
  <c r="K11" i="8"/>
  <c r="AE15" i="8"/>
  <c r="S74" i="8"/>
  <c r="AE74" i="8"/>
  <c r="E25" i="8"/>
  <c r="S28" i="8"/>
  <c r="E29" i="8"/>
  <c r="G29" i="8" s="1"/>
  <c r="K50" i="8"/>
  <c r="O50" i="8"/>
  <c r="W50" i="8"/>
  <c r="AA50" i="8"/>
  <c r="K66" i="8"/>
  <c r="O66" i="8"/>
  <c r="W66" i="8"/>
  <c r="AA66" i="8"/>
  <c r="E71" i="8"/>
  <c r="G71" i="8" s="1"/>
  <c r="E80" i="8"/>
  <c r="E67" i="8" l="1"/>
  <c r="D10" i="11"/>
  <c r="L7" i="8"/>
  <c r="X13" i="5"/>
  <c r="D16" i="5"/>
  <c r="F16" i="5" s="1"/>
  <c r="J13" i="5"/>
  <c r="Q13" i="5"/>
  <c r="Q6" i="5" s="1"/>
  <c r="T13" i="5"/>
  <c r="V13" i="5"/>
  <c r="M13" i="5"/>
  <c r="M6" i="5" s="1"/>
  <c r="E79" i="8"/>
  <c r="E78" i="8" s="1"/>
  <c r="N13" i="5"/>
  <c r="I13" i="5"/>
  <c r="I6" i="5" s="1"/>
  <c r="AC13" i="5"/>
  <c r="AC6" i="5" s="1"/>
  <c r="E95" i="8"/>
  <c r="E94" i="8" s="1"/>
  <c r="R15" i="5"/>
  <c r="E13" i="5"/>
  <c r="F37" i="8"/>
  <c r="F22" i="8" s="1"/>
  <c r="V10" i="8"/>
  <c r="V7" i="8" s="1"/>
  <c r="P13" i="5"/>
  <c r="G36" i="8"/>
  <c r="G35" i="8" s="1"/>
  <c r="E35" i="8"/>
  <c r="G91" i="8"/>
  <c r="E86" i="8"/>
  <c r="E85" i="8" s="1"/>
  <c r="G81" i="8"/>
  <c r="G13" i="5"/>
  <c r="G6" i="5" s="1"/>
  <c r="J20" i="5"/>
  <c r="V20" i="5"/>
  <c r="AD34" i="5"/>
  <c r="AD33" i="5" s="1"/>
  <c r="R34" i="5"/>
  <c r="P20" i="5"/>
  <c r="H20" i="5"/>
  <c r="H6" i="5" s="1"/>
  <c r="O7" i="8"/>
  <c r="N20" i="5"/>
  <c r="X20" i="5"/>
  <c r="AC7" i="8"/>
  <c r="R7" i="8"/>
  <c r="Y7" i="8"/>
  <c r="AA7" i="8"/>
  <c r="S23" i="8"/>
  <c r="S22" i="8" s="1"/>
  <c r="G90" i="8"/>
  <c r="J7" i="8"/>
  <c r="E51" i="8"/>
  <c r="D26" i="5" s="1"/>
  <c r="Q7" i="8"/>
  <c r="I7" i="8"/>
  <c r="AB20" i="5"/>
  <c r="AD7" i="8"/>
  <c r="M7" i="8"/>
  <c r="L20" i="5"/>
  <c r="L6" i="5" s="1"/>
  <c r="E42" i="8"/>
  <c r="E41" i="8" s="1"/>
  <c r="T20" i="5"/>
  <c r="AA20" i="5"/>
  <c r="Z20" i="5"/>
  <c r="H7" i="8"/>
  <c r="N7" i="8"/>
  <c r="K20" i="5"/>
  <c r="K6" i="5" s="1"/>
  <c r="AE23" i="8"/>
  <c r="AE22" i="8" s="1"/>
  <c r="G43" i="8"/>
  <c r="G100" i="8"/>
  <c r="G99" i="8" s="1"/>
  <c r="G30" i="8"/>
  <c r="G93" i="8"/>
  <c r="G92" i="8" s="1"/>
  <c r="G57" i="8"/>
  <c r="G56" i="8" s="1"/>
  <c r="Z14" i="5"/>
  <c r="AD28" i="5"/>
  <c r="U9" i="5"/>
  <c r="U6" i="5" s="1"/>
  <c r="G97" i="8"/>
  <c r="G95" i="8" s="1"/>
  <c r="AD32" i="5"/>
  <c r="R31" i="5"/>
  <c r="R30" i="5" s="1"/>
  <c r="G83" i="8"/>
  <c r="G82" i="8" s="1"/>
  <c r="G18" i="8"/>
  <c r="AD31" i="5"/>
  <c r="S66" i="8"/>
  <c r="G38" i="8"/>
  <c r="G37" i="8" s="1"/>
  <c r="R26" i="5"/>
  <c r="R25" i="5" s="1"/>
  <c r="AD21" i="5"/>
  <c r="AE11" i="8"/>
  <c r="AE10" i="8" s="1"/>
  <c r="AE66" i="8"/>
  <c r="E31" i="8"/>
  <c r="D15" i="5" s="1"/>
  <c r="F15" i="5" s="1"/>
  <c r="E28" i="8"/>
  <c r="G28" i="8" s="1"/>
  <c r="F74" i="8"/>
  <c r="E32" i="5" s="1"/>
  <c r="F32" i="5" s="1"/>
  <c r="G31" i="8"/>
  <c r="E18" i="8"/>
  <c r="D11" i="5" s="1"/>
  <c r="F11" i="5" s="1"/>
  <c r="AD26" i="5"/>
  <c r="R22" i="5"/>
  <c r="O25" i="5"/>
  <c r="P50" i="8"/>
  <c r="P7" i="8" s="1"/>
  <c r="AD15" i="5"/>
  <c r="AD11" i="5"/>
  <c r="AB14" i="5"/>
  <c r="AB13" i="5" s="1"/>
  <c r="AD22" i="5"/>
  <c r="AD41" i="5"/>
  <c r="AD40" i="5" s="1"/>
  <c r="AD38" i="5"/>
  <c r="AD37" i="5" s="1"/>
  <c r="R41" i="5"/>
  <c r="R38" i="5"/>
  <c r="AA14" i="5"/>
  <c r="AB7" i="8"/>
  <c r="Z7" i="8"/>
  <c r="Y14" i="5"/>
  <c r="Y13" i="5" s="1"/>
  <c r="U10" i="8"/>
  <c r="U7" i="8" s="1"/>
  <c r="T10" i="5"/>
  <c r="T9" i="5" s="1"/>
  <c r="X10" i="8"/>
  <c r="X7" i="8" s="1"/>
  <c r="W10" i="5"/>
  <c r="W9" i="5" s="1"/>
  <c r="W6" i="5" s="1"/>
  <c r="T10" i="8"/>
  <c r="T7" i="8" s="1"/>
  <c r="S10" i="5"/>
  <c r="W10" i="8"/>
  <c r="W7" i="8" s="1"/>
  <c r="V10" i="5"/>
  <c r="V9" i="5" s="1"/>
  <c r="R21" i="5"/>
  <c r="O14" i="5"/>
  <c r="O13" i="5" s="1"/>
  <c r="K10" i="8"/>
  <c r="K7" i="8" s="1"/>
  <c r="J10" i="5"/>
  <c r="G69" i="8"/>
  <c r="G67" i="8" s="1"/>
  <c r="G54" i="8"/>
  <c r="G51" i="8" s="1"/>
  <c r="F62" i="8"/>
  <c r="E28" i="5" s="1"/>
  <c r="G63" i="8"/>
  <c r="G25" i="8"/>
  <c r="G65" i="8"/>
  <c r="F64" i="8"/>
  <c r="G47" i="8"/>
  <c r="E27" i="8"/>
  <c r="G27" i="8" s="1"/>
  <c r="S10" i="8"/>
  <c r="E15" i="8"/>
  <c r="G15" i="8" s="1"/>
  <c r="G11" i="8" s="1"/>
  <c r="G80" i="8"/>
  <c r="G44" i="8"/>
  <c r="J4" i="8" l="1"/>
  <c r="G10" i="11"/>
  <c r="X6" i="5"/>
  <c r="N6" i="5"/>
  <c r="G86" i="8"/>
  <c r="G85" i="8" s="1"/>
  <c r="G94" i="8"/>
  <c r="G79" i="8"/>
  <c r="G78" i="8" s="1"/>
  <c r="R37" i="5"/>
  <c r="D38" i="5"/>
  <c r="D37" i="5" s="1"/>
  <c r="P6" i="5"/>
  <c r="R40" i="5"/>
  <c r="D41" i="5"/>
  <c r="R33" i="5"/>
  <c r="D34" i="5"/>
  <c r="V6" i="5"/>
  <c r="T6" i="5"/>
  <c r="Z13" i="5"/>
  <c r="Z6" i="5" s="1"/>
  <c r="AA13" i="5"/>
  <c r="AA6" i="5" s="1"/>
  <c r="AB6" i="5"/>
  <c r="AD20" i="5"/>
  <c r="R20" i="5"/>
  <c r="S7" i="8"/>
  <c r="AE7" i="8"/>
  <c r="E33" i="5"/>
  <c r="G23" i="8"/>
  <c r="G22" i="8" s="1"/>
  <c r="E11" i="8"/>
  <c r="E10" i="8" s="1"/>
  <c r="E23" i="8"/>
  <c r="E22" i="8" s="1"/>
  <c r="AD25" i="5"/>
  <c r="AD30" i="5"/>
  <c r="F66" i="8"/>
  <c r="G74" i="8"/>
  <c r="G66" i="8" s="1"/>
  <c r="E30" i="5"/>
  <c r="Y6" i="5"/>
  <c r="AD14" i="5"/>
  <c r="AD13" i="5" s="1"/>
  <c r="G46" i="8"/>
  <c r="D22" i="5"/>
  <c r="S9" i="5"/>
  <c r="S6" i="5" s="1"/>
  <c r="AD10" i="5"/>
  <c r="G64" i="8"/>
  <c r="E29" i="5"/>
  <c r="F29" i="5" s="1"/>
  <c r="F28" i="5"/>
  <c r="E66" i="8"/>
  <c r="D31" i="5"/>
  <c r="D25" i="5"/>
  <c r="F26" i="5"/>
  <c r="G42" i="8"/>
  <c r="D21" i="5"/>
  <c r="R14" i="5"/>
  <c r="R13" i="5" s="1"/>
  <c r="O6" i="5"/>
  <c r="J9" i="5"/>
  <c r="J6" i="5" s="1"/>
  <c r="R10" i="5"/>
  <c r="F50" i="8"/>
  <c r="G62" i="8"/>
  <c r="E50" i="8"/>
  <c r="F10" i="11" l="1"/>
  <c r="C10" i="11"/>
  <c r="J10" i="11"/>
  <c r="F38" i="5"/>
  <c r="F37" i="5" s="1"/>
  <c r="R9" i="5"/>
  <c r="R6" i="5" s="1"/>
  <c r="F41" i="5"/>
  <c r="F40" i="5" s="1"/>
  <c r="D40" i="5"/>
  <c r="AD9" i="5"/>
  <c r="AD6" i="5" s="1"/>
  <c r="D33" i="5"/>
  <c r="F34" i="5"/>
  <c r="F33" i="5" s="1"/>
  <c r="F7" i="8"/>
  <c r="D20" i="5"/>
  <c r="G41" i="8"/>
  <c r="G10" i="8"/>
  <c r="G50" i="8"/>
  <c r="F22" i="5"/>
  <c r="D30" i="5"/>
  <c r="F31" i="5"/>
  <c r="F30" i="5" s="1"/>
  <c r="F25" i="5"/>
  <c r="E25" i="5"/>
  <c r="E6" i="5" s="1"/>
  <c r="D10" i="5"/>
  <c r="D9" i="5" s="1"/>
  <c r="F21" i="5"/>
  <c r="E7" i="8"/>
  <c r="D14" i="5"/>
  <c r="D13" i="5" s="1"/>
  <c r="I10" i="11" l="1"/>
  <c r="E10" i="11"/>
  <c r="G7" i="8"/>
  <c r="H10" i="11"/>
  <c r="F20" i="5"/>
  <c r="F9" i="5"/>
  <c r="F10" i="5"/>
  <c r="D6" i="5"/>
  <c r="F14" i="5"/>
  <c r="F13" i="5" s="1"/>
  <c r="AE115" i="7"/>
  <c r="S115" i="7"/>
  <c r="E115" i="7" s="1"/>
  <c r="G115" i="7" s="1"/>
  <c r="F114" i="7"/>
  <c r="F113" i="7" s="1"/>
  <c r="F111" i="7" s="1"/>
  <c r="AD114" i="7"/>
  <c r="AD113" i="7" s="1"/>
  <c r="AD111" i="7" s="1"/>
  <c r="AC114" i="7"/>
  <c r="AC113" i="7" s="1"/>
  <c r="AC111" i="7" s="1"/>
  <c r="AB114" i="7"/>
  <c r="AB113" i="7" s="1"/>
  <c r="AB111" i="7" s="1"/>
  <c r="AA114" i="7"/>
  <c r="AA113" i="7" s="1"/>
  <c r="AA111" i="7" s="1"/>
  <c r="Z114" i="7"/>
  <c r="Z113" i="7" s="1"/>
  <c r="Z111" i="7" s="1"/>
  <c r="Y114" i="7"/>
  <c r="Y113" i="7" s="1"/>
  <c r="Y111" i="7" s="1"/>
  <c r="X114" i="7"/>
  <c r="X113" i="7" s="1"/>
  <c r="X111" i="7" s="1"/>
  <c r="W114" i="7"/>
  <c r="W113" i="7" s="1"/>
  <c r="W111" i="7" s="1"/>
  <c r="V114" i="7"/>
  <c r="V113" i="7" s="1"/>
  <c r="V111" i="7" s="1"/>
  <c r="U114" i="7"/>
  <c r="U113" i="7" s="1"/>
  <c r="U111" i="7" s="1"/>
  <c r="T114" i="7"/>
  <c r="T113" i="7" s="1"/>
  <c r="T111" i="7" s="1"/>
  <c r="R114" i="7"/>
  <c r="R113" i="7" s="1"/>
  <c r="R111" i="7" s="1"/>
  <c r="Q114" i="7"/>
  <c r="Q113" i="7" s="1"/>
  <c r="Q111" i="7" s="1"/>
  <c r="P114" i="7"/>
  <c r="P113" i="7" s="1"/>
  <c r="P111" i="7" s="1"/>
  <c r="O114" i="7"/>
  <c r="O113" i="7" s="1"/>
  <c r="O111" i="7" s="1"/>
  <c r="N114" i="7"/>
  <c r="N113" i="7" s="1"/>
  <c r="N111" i="7" s="1"/>
  <c r="M114" i="7"/>
  <c r="M113" i="7" s="1"/>
  <c r="M111" i="7" s="1"/>
  <c r="L114" i="7"/>
  <c r="L113" i="7" s="1"/>
  <c r="L111" i="7" s="1"/>
  <c r="K114" i="7"/>
  <c r="K113" i="7" s="1"/>
  <c r="K111" i="7" s="1"/>
  <c r="J114" i="7"/>
  <c r="J113" i="7" s="1"/>
  <c r="J111" i="7" s="1"/>
  <c r="I114" i="7"/>
  <c r="I113" i="7" s="1"/>
  <c r="I111" i="7" s="1"/>
  <c r="H114" i="7"/>
  <c r="H113" i="7" s="1"/>
  <c r="H111" i="7" s="1"/>
  <c r="AE109" i="7"/>
  <c r="AE108" i="7" s="1"/>
  <c r="S109" i="7"/>
  <c r="S108" i="7" s="1"/>
  <c r="AE106" i="7"/>
  <c r="S106" i="7"/>
  <c r="AE105" i="7"/>
  <c r="S105" i="7"/>
  <c r="AE107" i="7"/>
  <c r="S107" i="7"/>
  <c r="AE104" i="7"/>
  <c r="S104" i="7"/>
  <c r="F103" i="7"/>
  <c r="AD103" i="7"/>
  <c r="AC103" i="7"/>
  <c r="AB103" i="7"/>
  <c r="AA103" i="7"/>
  <c r="Z103" i="7"/>
  <c r="Y103" i="7"/>
  <c r="X103" i="7"/>
  <c r="W103" i="7"/>
  <c r="V103" i="7"/>
  <c r="U103" i="7"/>
  <c r="T103" i="7"/>
  <c r="R103" i="7"/>
  <c r="Q103" i="7"/>
  <c r="P103" i="7"/>
  <c r="O103" i="7"/>
  <c r="N103" i="7"/>
  <c r="M103" i="7"/>
  <c r="L103" i="7"/>
  <c r="K103" i="7"/>
  <c r="J103" i="7"/>
  <c r="I103" i="7"/>
  <c r="H102" i="7"/>
  <c r="H100" i="7" s="1"/>
  <c r="AE52" i="7"/>
  <c r="AE51" i="7" s="1"/>
  <c r="AE50" i="7" s="1"/>
  <c r="S52" i="7"/>
  <c r="AE87" i="7"/>
  <c r="S87" i="7"/>
  <c r="AE93" i="7"/>
  <c r="R60" i="1"/>
  <c r="AE99" i="7"/>
  <c r="S99" i="7"/>
  <c r="E99" i="7" s="1"/>
  <c r="G99" i="7" s="1"/>
  <c r="AE98" i="7"/>
  <c r="S98" i="7"/>
  <c r="AE97" i="7"/>
  <c r="S97" i="7"/>
  <c r="AE96" i="7"/>
  <c r="S96" i="7"/>
  <c r="AE86" i="7"/>
  <c r="S86" i="7"/>
  <c r="E86" i="7" s="1"/>
  <c r="G86" i="7" s="1"/>
  <c r="AE90" i="7"/>
  <c r="S90" i="7"/>
  <c r="AE80" i="7"/>
  <c r="S80" i="7"/>
  <c r="AE84" i="7"/>
  <c r="S84" i="7"/>
  <c r="AE72" i="7"/>
  <c r="S72" i="7"/>
  <c r="AE76" i="7"/>
  <c r="S76" i="7"/>
  <c r="AE68" i="7"/>
  <c r="S68" i="7"/>
  <c r="AE89" i="7"/>
  <c r="S89" i="7"/>
  <c r="AE88" i="7"/>
  <c r="S88" i="7"/>
  <c r="AE92" i="7"/>
  <c r="S92" i="7"/>
  <c r="AE83" i="7"/>
  <c r="S83" i="7"/>
  <c r="AE82" i="7"/>
  <c r="S82" i="7"/>
  <c r="AE71" i="7"/>
  <c r="S71" i="7"/>
  <c r="E71" i="7" s="1"/>
  <c r="G71" i="7" s="1"/>
  <c r="AE70" i="7"/>
  <c r="S70" i="7"/>
  <c r="AE75" i="7"/>
  <c r="S75" i="7"/>
  <c r="AE74" i="7"/>
  <c r="S74" i="7"/>
  <c r="AE67" i="7"/>
  <c r="S67" i="7"/>
  <c r="S65" i="7" s="1"/>
  <c r="AE66" i="7"/>
  <c r="S66" i="7"/>
  <c r="AE79" i="7"/>
  <c r="S79" i="7"/>
  <c r="AE78" i="7"/>
  <c r="S78" i="7"/>
  <c r="AE62" i="7"/>
  <c r="S62" i="7"/>
  <c r="AE61" i="7"/>
  <c r="AE60" i="7" s="1"/>
  <c r="AE49" i="7"/>
  <c r="S49" i="7"/>
  <c r="AE48" i="7"/>
  <c r="S48" i="7"/>
  <c r="AE47" i="7"/>
  <c r="S47" i="7"/>
  <c r="AE46" i="7"/>
  <c r="S46" i="7"/>
  <c r="AE45" i="7"/>
  <c r="S45" i="7"/>
  <c r="AE44" i="7"/>
  <c r="S44" i="7"/>
  <c r="AE43" i="7"/>
  <c r="S43" i="7"/>
  <c r="AE42" i="7"/>
  <c r="S42" i="7"/>
  <c r="AE41" i="7"/>
  <c r="S41" i="7"/>
  <c r="AE40" i="7"/>
  <c r="S40" i="7"/>
  <c r="AE39" i="7"/>
  <c r="S39" i="7"/>
  <c r="AE38" i="7"/>
  <c r="S38" i="7"/>
  <c r="AE37" i="7"/>
  <c r="S37" i="7"/>
  <c r="AE36" i="7"/>
  <c r="S36" i="7"/>
  <c r="S35" i="7" s="1"/>
  <c r="F35" i="7"/>
  <c r="AD32" i="7"/>
  <c r="AE32" i="7" s="1"/>
  <c r="S32" i="7"/>
  <c r="AD31" i="7"/>
  <c r="AE31" i="7" s="1"/>
  <c r="S31" i="7"/>
  <c r="AD30" i="7"/>
  <c r="AE30" i="7" s="1"/>
  <c r="S30" i="7"/>
  <c r="AD29" i="7"/>
  <c r="Z29" i="7"/>
  <c r="AD28" i="7"/>
  <c r="AE28" i="7" s="1"/>
  <c r="S28" i="7"/>
  <c r="AE27" i="7"/>
  <c r="S27" i="7"/>
  <c r="AE26" i="7"/>
  <c r="S26" i="7"/>
  <c r="AE25" i="7"/>
  <c r="S25" i="7"/>
  <c r="AE24" i="7"/>
  <c r="S24" i="7"/>
  <c r="F23" i="7"/>
  <c r="F12" i="7" s="1"/>
  <c r="AC23" i="7"/>
  <c r="AC12" i="7" s="1"/>
  <c r="AB23" i="7"/>
  <c r="AB12" i="7" s="1"/>
  <c r="AA23" i="7"/>
  <c r="AA12" i="7" s="1"/>
  <c r="Y23" i="7"/>
  <c r="Y12" i="7" s="1"/>
  <c r="X23" i="7"/>
  <c r="X12" i="7" s="1"/>
  <c r="W23" i="7"/>
  <c r="W12" i="7" s="1"/>
  <c r="V23" i="7"/>
  <c r="V12" i="7" s="1"/>
  <c r="U23" i="7"/>
  <c r="U12" i="7" s="1"/>
  <c r="T23" i="7"/>
  <c r="T12" i="7" s="1"/>
  <c r="Q23" i="7"/>
  <c r="P23" i="7"/>
  <c r="O23" i="7"/>
  <c r="N23" i="7"/>
  <c r="L23" i="7"/>
  <c r="K23" i="7"/>
  <c r="J23" i="7"/>
  <c r="I23" i="7"/>
  <c r="AD22" i="7"/>
  <c r="S22" i="7"/>
  <c r="AD21" i="7"/>
  <c r="AE21" i="7" s="1"/>
  <c r="S21" i="7"/>
  <c r="AD20" i="7"/>
  <c r="AE20" i="7" s="1"/>
  <c r="S20" i="7"/>
  <c r="AD19" i="7"/>
  <c r="Z19" i="7"/>
  <c r="Z13" i="7" s="1"/>
  <c r="AD18" i="7"/>
  <c r="S18" i="7"/>
  <c r="AE17" i="7"/>
  <c r="S17" i="7"/>
  <c r="AE16" i="7"/>
  <c r="S16" i="7"/>
  <c r="AE15" i="7"/>
  <c r="S15" i="7"/>
  <c r="AE14" i="7"/>
  <c r="S14" i="7"/>
  <c r="G10" i="7"/>
  <c r="E10" i="7" s="1"/>
  <c r="F10" i="7" s="1"/>
  <c r="J12" i="7" l="1"/>
  <c r="I47" i="20"/>
  <c r="I45" i="20" s="1"/>
  <c r="I44" i="20" s="1"/>
  <c r="I43" i="20" s="1"/>
  <c r="I41" i="20" s="1"/>
  <c r="I39" i="20" s="1"/>
  <c r="I30" i="21"/>
  <c r="I28" i="21" s="1"/>
  <c r="I27" i="21" s="1"/>
  <c r="I26" i="21" s="1"/>
  <c r="I24" i="21" s="1"/>
  <c r="I22" i="21" s="1"/>
  <c r="O12" i="7"/>
  <c r="N30" i="21"/>
  <c r="N28" i="21" s="1"/>
  <c r="N27" i="21" s="1"/>
  <c r="N26" i="21" s="1"/>
  <c r="N24" i="21" s="1"/>
  <c r="N22" i="21" s="1"/>
  <c r="N47" i="20"/>
  <c r="N45" i="20" s="1"/>
  <c r="N44" i="20" s="1"/>
  <c r="N43" i="20" s="1"/>
  <c r="N41" i="20" s="1"/>
  <c r="N39" i="20" s="1"/>
  <c r="K12" i="7"/>
  <c r="K11" i="7" s="1"/>
  <c r="K9" i="7" s="1"/>
  <c r="J30" i="21"/>
  <c r="J28" i="21" s="1"/>
  <c r="J27" i="21" s="1"/>
  <c r="J26" i="21" s="1"/>
  <c r="J24" i="21" s="1"/>
  <c r="J22" i="21" s="1"/>
  <c r="J47" i="20"/>
  <c r="J45" i="20" s="1"/>
  <c r="J44" i="20" s="1"/>
  <c r="J43" i="20" s="1"/>
  <c r="J41" i="20" s="1"/>
  <c r="J39" i="20" s="1"/>
  <c r="P12" i="7"/>
  <c r="O47" i="20"/>
  <c r="O45" i="20" s="1"/>
  <c r="O44" i="20" s="1"/>
  <c r="O43" i="20" s="1"/>
  <c r="O41" i="20" s="1"/>
  <c r="O39" i="20" s="1"/>
  <c r="O30" i="21"/>
  <c r="O28" i="21" s="1"/>
  <c r="O27" i="21" s="1"/>
  <c r="O26" i="21" s="1"/>
  <c r="O24" i="21" s="1"/>
  <c r="O22" i="21" s="1"/>
  <c r="AE18" i="7"/>
  <c r="AD13" i="7"/>
  <c r="L12" i="7"/>
  <c r="K47" i="20"/>
  <c r="K45" i="20" s="1"/>
  <c r="K44" i="20" s="1"/>
  <c r="K43" i="20" s="1"/>
  <c r="K41" i="20" s="1"/>
  <c r="K39" i="20" s="1"/>
  <c r="K30" i="21"/>
  <c r="K28" i="21" s="1"/>
  <c r="K27" i="21" s="1"/>
  <c r="K26" i="21" s="1"/>
  <c r="K24" i="21" s="1"/>
  <c r="K22" i="21" s="1"/>
  <c r="Q12" i="7"/>
  <c r="P47" i="20"/>
  <c r="P45" i="20" s="1"/>
  <c r="P44" i="20" s="1"/>
  <c r="P43" i="20" s="1"/>
  <c r="P41" i="20" s="1"/>
  <c r="P39" i="20" s="1"/>
  <c r="P30" i="21"/>
  <c r="P28" i="21" s="1"/>
  <c r="P27" i="21" s="1"/>
  <c r="P26" i="21" s="1"/>
  <c r="P24" i="21" s="1"/>
  <c r="P22" i="21" s="1"/>
  <c r="I12" i="7"/>
  <c r="H47" i="20"/>
  <c r="H30" i="21"/>
  <c r="N12" i="7"/>
  <c r="M47" i="20"/>
  <c r="M45" i="20" s="1"/>
  <c r="M44" i="20" s="1"/>
  <c r="M43" i="20" s="1"/>
  <c r="M41" i="20" s="1"/>
  <c r="M39" i="20" s="1"/>
  <c r="M30" i="21"/>
  <c r="M28" i="21" s="1"/>
  <c r="M27" i="21" s="1"/>
  <c r="M26" i="21" s="1"/>
  <c r="M24" i="21" s="1"/>
  <c r="M22" i="21" s="1"/>
  <c r="AA11" i="7"/>
  <c r="AA9" i="7" s="1"/>
  <c r="K10" i="11"/>
  <c r="V10" i="11" s="1"/>
  <c r="X11" i="7"/>
  <c r="X9" i="7" s="1"/>
  <c r="T11" i="7"/>
  <c r="T9" i="7" s="1"/>
  <c r="AC11" i="7"/>
  <c r="AC9" i="7" s="1"/>
  <c r="AE35" i="7"/>
  <c r="J15" i="1"/>
  <c r="J13" i="1" s="1"/>
  <c r="U11" i="7"/>
  <c r="U9" i="7" s="1"/>
  <c r="Y11" i="7"/>
  <c r="Y9" i="7" s="1"/>
  <c r="H15" i="1"/>
  <c r="H13" i="1" s="1"/>
  <c r="M15" i="1"/>
  <c r="M13" i="1" s="1"/>
  <c r="N11" i="7"/>
  <c r="N9" i="7" s="1"/>
  <c r="I15" i="1"/>
  <c r="I13" i="1" s="1"/>
  <c r="J11" i="7"/>
  <c r="J9" i="7" s="1"/>
  <c r="N15" i="1"/>
  <c r="N13" i="1" s="1"/>
  <c r="O11" i="7"/>
  <c r="O9" i="7" s="1"/>
  <c r="O15" i="1"/>
  <c r="O13" i="1" s="1"/>
  <c r="P11" i="7"/>
  <c r="P9" i="7" s="1"/>
  <c r="K15" i="1"/>
  <c r="K13" i="1" s="1"/>
  <c r="L11" i="7"/>
  <c r="L9" i="7" s="1"/>
  <c r="P15" i="1"/>
  <c r="P13" i="1" s="1"/>
  <c r="Q11" i="7"/>
  <c r="Q9" i="7" s="1"/>
  <c r="E88" i="7"/>
  <c r="G88" i="7" s="1"/>
  <c r="E67" i="7"/>
  <c r="G67" i="7" s="1"/>
  <c r="E72" i="7"/>
  <c r="G72" i="7" s="1"/>
  <c r="E117" i="7"/>
  <c r="G117" i="7" s="1"/>
  <c r="E66" i="7"/>
  <c r="G66" i="7" s="1"/>
  <c r="E74" i="7"/>
  <c r="G74" i="7" s="1"/>
  <c r="E82" i="7"/>
  <c r="G82" i="7" s="1"/>
  <c r="E89" i="7"/>
  <c r="G89" i="7" s="1"/>
  <c r="E84" i="7"/>
  <c r="G84" i="7" s="1"/>
  <c r="E96" i="7"/>
  <c r="G96" i="7" s="1"/>
  <c r="E116" i="7"/>
  <c r="E106" i="7"/>
  <c r="G106" i="7" s="1"/>
  <c r="E79" i="7"/>
  <c r="G79" i="7" s="1"/>
  <c r="E78" i="7"/>
  <c r="G78" i="7" s="1"/>
  <c r="E26" i="7"/>
  <c r="G26" i="7" s="1"/>
  <c r="E27" i="7"/>
  <c r="G27" i="7" s="1"/>
  <c r="E30" i="7"/>
  <c r="G30" i="7" s="1"/>
  <c r="E37" i="7"/>
  <c r="G37" i="7" s="1"/>
  <c r="E38" i="7"/>
  <c r="G38" i="7" s="1"/>
  <c r="E41" i="7"/>
  <c r="G41" i="7" s="1"/>
  <c r="E45" i="7"/>
  <c r="G45" i="7" s="1"/>
  <c r="E49" i="7"/>
  <c r="G49" i="7" s="1"/>
  <c r="E70" i="7"/>
  <c r="G70" i="7" s="1"/>
  <c r="E92" i="7"/>
  <c r="G92" i="7" s="1"/>
  <c r="E76" i="7"/>
  <c r="G76" i="7" s="1"/>
  <c r="E90" i="7"/>
  <c r="G90" i="7" s="1"/>
  <c r="E98" i="7"/>
  <c r="G98" i="7" s="1"/>
  <c r="E42" i="7"/>
  <c r="G42" i="7" s="1"/>
  <c r="E46" i="7"/>
  <c r="G46" i="7" s="1"/>
  <c r="E62" i="7"/>
  <c r="G62" i="7" s="1"/>
  <c r="S60" i="7"/>
  <c r="E24" i="7"/>
  <c r="G24" i="7" s="1"/>
  <c r="E28" i="7"/>
  <c r="G28" i="7" s="1"/>
  <c r="E31" i="7"/>
  <c r="G31" i="7" s="1"/>
  <c r="E39" i="7"/>
  <c r="G39" i="7" s="1"/>
  <c r="E43" i="7"/>
  <c r="G43" i="7" s="1"/>
  <c r="E47" i="7"/>
  <c r="G47" i="7" s="1"/>
  <c r="E107" i="7"/>
  <c r="G107" i="7" s="1"/>
  <c r="E25" i="7"/>
  <c r="G25" i="7" s="1"/>
  <c r="E32" i="7"/>
  <c r="G32" i="7" s="1"/>
  <c r="E36" i="7"/>
  <c r="G36" i="7" s="1"/>
  <c r="E40" i="7"/>
  <c r="G40" i="7" s="1"/>
  <c r="E44" i="7"/>
  <c r="G44" i="7" s="1"/>
  <c r="E48" i="7"/>
  <c r="G48" i="7" s="1"/>
  <c r="E75" i="7"/>
  <c r="G75" i="7" s="1"/>
  <c r="E83" i="7"/>
  <c r="G83" i="7" s="1"/>
  <c r="E68" i="7"/>
  <c r="G68" i="7" s="1"/>
  <c r="E80" i="7"/>
  <c r="G80" i="7" s="1"/>
  <c r="E97" i="7"/>
  <c r="G97" i="7" s="1"/>
  <c r="E87" i="7"/>
  <c r="G87" i="7" s="1"/>
  <c r="E16" i="7"/>
  <c r="G16" i="7" s="1"/>
  <c r="E109" i="7"/>
  <c r="S59" i="7"/>
  <c r="E61" i="7"/>
  <c r="S51" i="7"/>
  <c r="S50" i="7" s="1"/>
  <c r="F52" i="7"/>
  <c r="E17" i="7"/>
  <c r="G17" i="7" s="1"/>
  <c r="E20" i="7"/>
  <c r="G20" i="7" s="1"/>
  <c r="AE59" i="7"/>
  <c r="E104" i="7"/>
  <c r="G104" i="7" s="1"/>
  <c r="E14" i="7"/>
  <c r="E18" i="7"/>
  <c r="G18" i="7" s="1"/>
  <c r="E21" i="7"/>
  <c r="G21" i="7" s="1"/>
  <c r="E15" i="7"/>
  <c r="G15" i="7" s="1"/>
  <c r="E105" i="7"/>
  <c r="G105" i="7" s="1"/>
  <c r="S95" i="7"/>
  <c r="S94" i="7" s="1"/>
  <c r="AE95" i="7"/>
  <c r="AE94" i="7" s="1"/>
  <c r="S93" i="7"/>
  <c r="I91" i="7"/>
  <c r="AE91" i="7"/>
  <c r="S85" i="7"/>
  <c r="AE85" i="7"/>
  <c r="R11" i="7"/>
  <c r="R9" i="7" s="1"/>
  <c r="AE65" i="7"/>
  <c r="AE77" i="7"/>
  <c r="AE69" i="7"/>
  <c r="M102" i="7"/>
  <c r="M100" i="7" s="1"/>
  <c r="AE81" i="7"/>
  <c r="L102" i="7"/>
  <c r="L100" i="7" s="1"/>
  <c r="S69" i="7"/>
  <c r="N102" i="7"/>
  <c r="N100" i="7" s="1"/>
  <c r="P102" i="7"/>
  <c r="P100" i="7" s="1"/>
  <c r="J102" i="7"/>
  <c r="J100" i="7" s="1"/>
  <c r="R102" i="7"/>
  <c r="R100" i="7" s="1"/>
  <c r="V102" i="7"/>
  <c r="V100" i="7" s="1"/>
  <c r="U102" i="7"/>
  <c r="U100" i="7" s="1"/>
  <c r="Y102" i="7"/>
  <c r="Y100" i="7" s="1"/>
  <c r="I11" i="7"/>
  <c r="I9" i="7" s="1"/>
  <c r="K102" i="7"/>
  <c r="K100" i="7" s="1"/>
  <c r="T102" i="7"/>
  <c r="T100" i="7" s="1"/>
  <c r="AB102" i="7"/>
  <c r="AB100" i="7" s="1"/>
  <c r="O102" i="7"/>
  <c r="O100" i="7" s="1"/>
  <c r="S77" i="7"/>
  <c r="S73" i="7"/>
  <c r="S81" i="7"/>
  <c r="AE73" i="7"/>
  <c r="AC102" i="7"/>
  <c r="AC100" i="7" s="1"/>
  <c r="AD102" i="7"/>
  <c r="AD100" i="7" s="1"/>
  <c r="V11" i="7"/>
  <c r="V9" i="7" s="1"/>
  <c r="AB11" i="7"/>
  <c r="AB9" i="7" s="1"/>
  <c r="W11" i="7"/>
  <c r="W9" i="7" s="1"/>
  <c r="S29" i="7"/>
  <c r="AA102" i="7"/>
  <c r="AA100" i="7" s="1"/>
  <c r="AE103" i="7"/>
  <c r="AE102" i="7" s="1"/>
  <c r="AE100" i="7" s="1"/>
  <c r="AE19" i="7"/>
  <c r="W102" i="7"/>
  <c r="W100" i="7" s="1"/>
  <c r="F102" i="7"/>
  <c r="F100" i="7" s="1"/>
  <c r="X102" i="7"/>
  <c r="X100" i="7" s="1"/>
  <c r="AE29" i="7"/>
  <c r="M23" i="7"/>
  <c r="Z102" i="7"/>
  <c r="Z100" i="7" s="1"/>
  <c r="I102" i="7"/>
  <c r="I100" i="7" s="1"/>
  <c r="Q102" i="7"/>
  <c r="Q100" i="7" s="1"/>
  <c r="AE22" i="7"/>
  <c r="E22" i="7" s="1"/>
  <c r="G22" i="7" s="1"/>
  <c r="S19" i="7"/>
  <c r="S13" i="7" s="1"/>
  <c r="AE114" i="7"/>
  <c r="AE113" i="7" s="1"/>
  <c r="AE111" i="7" s="1"/>
  <c r="F6" i="5"/>
  <c r="AD23" i="7"/>
  <c r="AD12" i="7" s="1"/>
  <c r="S114" i="7"/>
  <c r="S103" i="7"/>
  <c r="Z23" i="7"/>
  <c r="Z12" i="7" s="1"/>
  <c r="M12" i="7" l="1"/>
  <c r="L47" i="20"/>
  <c r="L45" i="20" s="1"/>
  <c r="L44" i="20" s="1"/>
  <c r="L43" i="20" s="1"/>
  <c r="L41" i="20" s="1"/>
  <c r="L39" i="20" s="1"/>
  <c r="L30" i="21"/>
  <c r="L28" i="21" s="1"/>
  <c r="L27" i="21" s="1"/>
  <c r="L26" i="21" s="1"/>
  <c r="L24" i="21" s="1"/>
  <c r="L22" i="21" s="1"/>
  <c r="H28" i="21"/>
  <c r="H27" i="21" s="1"/>
  <c r="H26" i="21" s="1"/>
  <c r="H24" i="21" s="1"/>
  <c r="H22" i="21" s="1"/>
  <c r="AE13" i="7"/>
  <c r="H45" i="20"/>
  <c r="H44" i="20" s="1"/>
  <c r="H43" i="20" s="1"/>
  <c r="H41" i="20" s="1"/>
  <c r="H39" i="20" s="1"/>
  <c r="R47" i="20"/>
  <c r="S64" i="7"/>
  <c r="G52" i="7"/>
  <c r="F51" i="7"/>
  <c r="F50" i="7" s="1"/>
  <c r="T20" i="14"/>
  <c r="I3" i="7"/>
  <c r="I58" i="7"/>
  <c r="I56" i="7" s="1"/>
  <c r="E114" i="7"/>
  <c r="G114" i="7" s="1"/>
  <c r="G116" i="7"/>
  <c r="E19" i="7"/>
  <c r="G19" i="7" s="1"/>
  <c r="Z11" i="7"/>
  <c r="AD11" i="7"/>
  <c r="G14" i="7"/>
  <c r="M11" i="7"/>
  <c r="L15" i="1"/>
  <c r="L13" i="1" s="1"/>
  <c r="G109" i="7"/>
  <c r="G108" i="7" s="1"/>
  <c r="E108" i="7"/>
  <c r="E35" i="7"/>
  <c r="G35" i="7" s="1"/>
  <c r="G61" i="7"/>
  <c r="E60" i="7"/>
  <c r="G60" i="7" s="1"/>
  <c r="S23" i="7"/>
  <c r="S12" i="7" s="1"/>
  <c r="E29" i="7"/>
  <c r="G29" i="7" s="1"/>
  <c r="S91" i="7"/>
  <c r="E93" i="7"/>
  <c r="G93" i="7" s="1"/>
  <c r="F11" i="7"/>
  <c r="AE64" i="7"/>
  <c r="AE58" i="7" s="1"/>
  <c r="AE56" i="7" s="1"/>
  <c r="E95" i="7"/>
  <c r="E85" i="7"/>
  <c r="G85" i="7" s="1"/>
  <c r="R7" i="7"/>
  <c r="J7" i="7"/>
  <c r="U7" i="7"/>
  <c r="E69" i="7"/>
  <c r="G69" i="7" s="1"/>
  <c r="E65" i="7"/>
  <c r="E77" i="7"/>
  <c r="G77" i="7" s="1"/>
  <c r="E81" i="7"/>
  <c r="G81" i="7" s="1"/>
  <c r="E73" i="7"/>
  <c r="G73" i="7" s="1"/>
  <c r="K7" i="7"/>
  <c r="AB7" i="7"/>
  <c r="W7" i="7"/>
  <c r="E103" i="7"/>
  <c r="AE23" i="7"/>
  <c r="AE12" i="7" s="1"/>
  <c r="O7" i="7"/>
  <c r="T7" i="7"/>
  <c r="I7" i="7"/>
  <c r="V7" i="7"/>
  <c r="AA7" i="7"/>
  <c r="AC7" i="7"/>
  <c r="P7" i="7"/>
  <c r="Q7" i="7"/>
  <c r="N7" i="7"/>
  <c r="X7" i="7"/>
  <c r="L7" i="7"/>
  <c r="H7" i="7"/>
  <c r="S102" i="7"/>
  <c r="S113" i="7"/>
  <c r="R30" i="21" l="1"/>
  <c r="D30" i="21" s="1"/>
  <c r="D47" i="20"/>
  <c r="R45" i="20"/>
  <c r="R44" i="20" s="1"/>
  <c r="R43" i="20" s="1"/>
  <c r="R41" i="20" s="1"/>
  <c r="R39" i="20" s="1"/>
  <c r="R28" i="21"/>
  <c r="R27" i="21" s="1"/>
  <c r="R26" i="21" s="1"/>
  <c r="R24" i="21" s="1"/>
  <c r="R22" i="21" s="1"/>
  <c r="F9" i="7"/>
  <c r="G13" i="7"/>
  <c r="AD9" i="7"/>
  <c r="AD7" i="7" s="1"/>
  <c r="M9" i="7"/>
  <c r="M7" i="7" s="1"/>
  <c r="S58" i="7"/>
  <c r="S56" i="7" s="1"/>
  <c r="Z9" i="7"/>
  <c r="Z7" i="7" s="1"/>
  <c r="E13" i="7"/>
  <c r="AE11" i="7"/>
  <c r="S11" i="7"/>
  <c r="S9" i="7" s="1"/>
  <c r="E94" i="7"/>
  <c r="G94" i="7" s="1"/>
  <c r="G95" i="7"/>
  <c r="E102" i="7"/>
  <c r="G103" i="7"/>
  <c r="E113" i="7"/>
  <c r="E59" i="7"/>
  <c r="E91" i="7"/>
  <c r="G91" i="7" s="1"/>
  <c r="E64" i="7"/>
  <c r="G64" i="7" s="1"/>
  <c r="G65" i="7"/>
  <c r="G50" i="7"/>
  <c r="G51" i="7"/>
  <c r="Y7" i="7"/>
  <c r="S111" i="7"/>
  <c r="S100" i="7"/>
  <c r="F30" i="21" l="1"/>
  <c r="F28" i="21" s="1"/>
  <c r="D28" i="21"/>
  <c r="D27" i="21"/>
  <c r="F47" i="20"/>
  <c r="F45" i="20" s="1"/>
  <c r="D45" i="20"/>
  <c r="D44" i="20"/>
  <c r="AE9" i="7"/>
  <c r="AE7" i="7" s="1"/>
  <c r="F7" i="7"/>
  <c r="E111" i="7"/>
  <c r="G111" i="7" s="1"/>
  <c r="G113" i="7"/>
  <c r="E100" i="7"/>
  <c r="G100" i="7" s="1"/>
  <c r="G102" i="7"/>
  <c r="E58" i="7"/>
  <c r="E56" i="7" s="1"/>
  <c r="G59" i="7"/>
  <c r="S7" i="7"/>
  <c r="D26" i="21" l="1"/>
  <c r="F27" i="21"/>
  <c r="D43" i="20"/>
  <c r="F44" i="20"/>
  <c r="G58" i="7"/>
  <c r="G56" i="7" s="1"/>
  <c r="E65" i="4"/>
  <c r="G65" i="4" s="1"/>
  <c r="E62" i="4"/>
  <c r="D24" i="21" l="1"/>
  <c r="D22" i="21" s="1"/>
  <c r="F26" i="21"/>
  <c r="F24" i="21" s="1"/>
  <c r="F22" i="21" s="1"/>
  <c r="D41" i="20"/>
  <c r="D39" i="20" s="1"/>
  <c r="F43" i="20"/>
  <c r="F41" i="20" s="1"/>
  <c r="F39" i="20" s="1"/>
  <c r="AD30" i="20" s="1"/>
  <c r="G62" i="4"/>
  <c r="E61" i="4"/>
  <c r="E60" i="4" s="1"/>
  <c r="G61" i="4" l="1"/>
  <c r="G60" i="4" s="1"/>
  <c r="F59" i="4"/>
  <c r="F58" i="4" s="1"/>
  <c r="F55" i="4" s="1"/>
  <c r="F7" i="4" s="1"/>
  <c r="E57" i="4"/>
  <c r="E35" i="4"/>
  <c r="E17" i="4"/>
  <c r="G17" i="4" s="1"/>
  <c r="E15" i="4"/>
  <c r="E13" i="4"/>
  <c r="F122" i="3"/>
  <c r="G122" i="3" s="1"/>
  <c r="F121" i="3"/>
  <c r="F114" i="3"/>
  <c r="F102" i="3"/>
  <c r="G102" i="3" s="1"/>
  <c r="F101" i="3" s="1"/>
  <c r="F100" i="3" s="1"/>
  <c r="E77" i="3"/>
  <c r="E76" i="3"/>
  <c r="E66" i="3"/>
  <c r="E65" i="3" s="1"/>
  <c r="E26" i="3"/>
  <c r="E20" i="3" s="1"/>
  <c r="E10" i="3" s="1"/>
  <c r="AC80" i="1"/>
  <c r="AC79" i="1" s="1"/>
  <c r="AC77" i="1" s="1"/>
  <c r="AB80" i="1"/>
  <c r="AB79" i="1" s="1"/>
  <c r="AB77" i="1" s="1"/>
  <c r="AA80" i="1"/>
  <c r="AA79" i="1" s="1"/>
  <c r="AA77" i="1" s="1"/>
  <c r="Z80" i="1"/>
  <c r="Z79" i="1" s="1"/>
  <c r="Z77" i="1" s="1"/>
  <c r="Y80" i="1"/>
  <c r="Y79" i="1" s="1"/>
  <c r="Y77" i="1" s="1"/>
  <c r="X80" i="1"/>
  <c r="X79" i="1" s="1"/>
  <c r="X77" i="1" s="1"/>
  <c r="W80" i="1"/>
  <c r="W79" i="1" s="1"/>
  <c r="W77" i="1" s="1"/>
  <c r="V80" i="1"/>
  <c r="V79" i="1" s="1"/>
  <c r="V77" i="1" s="1"/>
  <c r="U80" i="1"/>
  <c r="U79" i="1" s="1"/>
  <c r="U77" i="1" s="1"/>
  <c r="T80" i="1"/>
  <c r="T79" i="1" s="1"/>
  <c r="T77" i="1" s="1"/>
  <c r="S80" i="1"/>
  <c r="S79" i="1" s="1"/>
  <c r="S77" i="1" s="1"/>
  <c r="Q80" i="1"/>
  <c r="Q79" i="1" s="1"/>
  <c r="Q77" i="1" s="1"/>
  <c r="P80" i="1"/>
  <c r="P79" i="1" s="1"/>
  <c r="P77" i="1" s="1"/>
  <c r="O80" i="1"/>
  <c r="O79" i="1" s="1"/>
  <c r="O77" i="1" s="1"/>
  <c r="N80" i="1"/>
  <c r="N79" i="1" s="1"/>
  <c r="N77" i="1" s="1"/>
  <c r="M80" i="1"/>
  <c r="M79" i="1" s="1"/>
  <c r="M77" i="1" s="1"/>
  <c r="L80" i="1"/>
  <c r="L79" i="1" s="1"/>
  <c r="L77" i="1" s="1"/>
  <c r="K80" i="1"/>
  <c r="K79" i="1" s="1"/>
  <c r="K77" i="1" s="1"/>
  <c r="J80" i="1"/>
  <c r="J79" i="1" s="1"/>
  <c r="J77" i="1" s="1"/>
  <c r="I80" i="1"/>
  <c r="I79" i="1" s="1"/>
  <c r="I77" i="1" s="1"/>
  <c r="H80" i="1"/>
  <c r="H79" i="1" s="1"/>
  <c r="H77" i="1" s="1"/>
  <c r="G80" i="1"/>
  <c r="G79" i="1" s="1"/>
  <c r="G77" i="1" s="1"/>
  <c r="E79" i="1"/>
  <c r="E77" i="1" s="1"/>
  <c r="D78" i="1"/>
  <c r="D73" i="1"/>
  <c r="F73" i="1" s="1"/>
  <c r="AC69" i="1"/>
  <c r="AB69" i="1"/>
  <c r="AB68" i="1" s="1"/>
  <c r="AB66" i="1" s="1"/>
  <c r="AA69" i="1"/>
  <c r="Z69" i="1"/>
  <c r="Z68" i="1" s="1"/>
  <c r="Z66" i="1" s="1"/>
  <c r="Y69" i="1"/>
  <c r="X69" i="1"/>
  <c r="X68" i="1" s="1"/>
  <c r="X66" i="1" s="1"/>
  <c r="W69" i="1"/>
  <c r="V69" i="1"/>
  <c r="V68" i="1" s="1"/>
  <c r="V66" i="1" s="1"/>
  <c r="U69" i="1"/>
  <c r="T69" i="1"/>
  <c r="T68" i="1" s="1"/>
  <c r="T66" i="1" s="1"/>
  <c r="S69" i="1"/>
  <c r="Q69" i="1"/>
  <c r="P69" i="1"/>
  <c r="O69" i="1"/>
  <c r="N69" i="1"/>
  <c r="N68" i="1" s="1"/>
  <c r="N66" i="1" s="1"/>
  <c r="M69" i="1"/>
  <c r="L69" i="1"/>
  <c r="K69" i="1"/>
  <c r="J69" i="1"/>
  <c r="I69" i="1"/>
  <c r="H69" i="1"/>
  <c r="G69" i="1"/>
  <c r="E69" i="1"/>
  <c r="D67" i="1"/>
  <c r="E37" i="1"/>
  <c r="F37" i="1" s="1"/>
  <c r="AC33" i="1"/>
  <c r="AC32" i="1" s="1"/>
  <c r="AB33" i="1"/>
  <c r="AB32" i="1" s="1"/>
  <c r="AA33" i="1"/>
  <c r="AA32" i="1" s="1"/>
  <c r="Z33" i="1"/>
  <c r="Z32" i="1" s="1"/>
  <c r="Y33" i="1"/>
  <c r="Y32" i="1" s="1"/>
  <c r="X33" i="1"/>
  <c r="X32" i="1" s="1"/>
  <c r="W33" i="1"/>
  <c r="W32" i="1" s="1"/>
  <c r="V33" i="1"/>
  <c r="V32" i="1" s="1"/>
  <c r="U33" i="1"/>
  <c r="U32" i="1" s="1"/>
  <c r="T33" i="1"/>
  <c r="T32" i="1" s="1"/>
  <c r="S33" i="1"/>
  <c r="S32" i="1" s="1"/>
  <c r="Q33" i="1"/>
  <c r="Q32" i="1" s="1"/>
  <c r="P33" i="1"/>
  <c r="P32" i="1" s="1"/>
  <c r="O33" i="1"/>
  <c r="O32" i="1" s="1"/>
  <c r="N33" i="1"/>
  <c r="N32" i="1" s="1"/>
  <c r="M33" i="1"/>
  <c r="M32" i="1" s="1"/>
  <c r="L33" i="1"/>
  <c r="L32" i="1" s="1"/>
  <c r="K33" i="1"/>
  <c r="K32" i="1" s="1"/>
  <c r="J33" i="1"/>
  <c r="J32" i="1" s="1"/>
  <c r="I33" i="1"/>
  <c r="I32" i="1" s="1"/>
  <c r="H33" i="1"/>
  <c r="H32" i="1" s="1"/>
  <c r="G32" i="1"/>
  <c r="D33" i="1"/>
  <c r="D32" i="1" s="1"/>
  <c r="D64" i="1"/>
  <c r="F64" i="1" s="1"/>
  <c r="E61" i="1"/>
  <c r="D60" i="1"/>
  <c r="F60" i="1" s="1"/>
  <c r="AC58" i="1"/>
  <c r="AB58" i="1"/>
  <c r="AA58" i="1"/>
  <c r="Z58" i="1"/>
  <c r="Y58" i="1"/>
  <c r="X58" i="1"/>
  <c r="W58" i="1"/>
  <c r="V58" i="1"/>
  <c r="U58" i="1"/>
  <c r="T58" i="1"/>
  <c r="S58" i="1"/>
  <c r="Q58" i="1"/>
  <c r="P58" i="1"/>
  <c r="O58" i="1"/>
  <c r="N58" i="1"/>
  <c r="M58" i="1"/>
  <c r="L58" i="1"/>
  <c r="K58" i="1"/>
  <c r="J58" i="1"/>
  <c r="I58" i="1"/>
  <c r="E58" i="1"/>
  <c r="AC52" i="1"/>
  <c r="AB52" i="1"/>
  <c r="AA52" i="1"/>
  <c r="Z52" i="1"/>
  <c r="Y52" i="1"/>
  <c r="X52" i="1"/>
  <c r="W52" i="1"/>
  <c r="V52" i="1"/>
  <c r="U52" i="1"/>
  <c r="T52" i="1"/>
  <c r="S52" i="1"/>
  <c r="Q52" i="1"/>
  <c r="P52" i="1"/>
  <c r="O52" i="1"/>
  <c r="N52" i="1"/>
  <c r="M52" i="1"/>
  <c r="L52" i="1"/>
  <c r="K52" i="1"/>
  <c r="J52" i="1"/>
  <c r="I52" i="1"/>
  <c r="H52" i="1"/>
  <c r="E52" i="1"/>
  <c r="E46" i="1"/>
  <c r="D45" i="1"/>
  <c r="F45" i="1" s="1"/>
  <c r="E42" i="1"/>
  <c r="D39" i="1"/>
  <c r="E39" i="1" s="1"/>
  <c r="D20" i="1"/>
  <c r="F20" i="1" s="1"/>
  <c r="AC17" i="1"/>
  <c r="AB17" i="1"/>
  <c r="AA17" i="1"/>
  <c r="Z17" i="1"/>
  <c r="Y17" i="1"/>
  <c r="X17" i="1"/>
  <c r="W17" i="1"/>
  <c r="V17" i="1"/>
  <c r="U17" i="1"/>
  <c r="T17" i="1"/>
  <c r="S17" i="1"/>
  <c r="Q17" i="1"/>
  <c r="Q12" i="1" s="1"/>
  <c r="Q11" i="1" s="1"/>
  <c r="P17" i="1"/>
  <c r="P12" i="1" s="1"/>
  <c r="P11" i="1" s="1"/>
  <c r="P9" i="1" s="1"/>
  <c r="O17" i="1"/>
  <c r="O12" i="1" s="1"/>
  <c r="O11" i="1" s="1"/>
  <c r="O9" i="1" s="1"/>
  <c r="N17" i="1"/>
  <c r="N12" i="1" s="1"/>
  <c r="N11" i="1" s="1"/>
  <c r="M17" i="1"/>
  <c r="M12" i="1" s="1"/>
  <c r="M11" i="1" s="1"/>
  <c r="L17" i="1"/>
  <c r="K17" i="1"/>
  <c r="J17" i="1"/>
  <c r="I17" i="1"/>
  <c r="H17" i="1"/>
  <c r="G17" i="1"/>
  <c r="G12" i="1" s="1"/>
  <c r="G11" i="1" s="1"/>
  <c r="G9" i="1" s="1"/>
  <c r="E17" i="1"/>
  <c r="AC15" i="1"/>
  <c r="AB15" i="1"/>
  <c r="AA15" i="1"/>
  <c r="Z15" i="1"/>
  <c r="Y15" i="1"/>
  <c r="X15" i="1"/>
  <c r="W15" i="1"/>
  <c r="V15" i="1"/>
  <c r="U15" i="1"/>
  <c r="T15" i="1"/>
  <c r="S15" i="1"/>
  <c r="AC14" i="1"/>
  <c r="AB14" i="1"/>
  <c r="AA14" i="1"/>
  <c r="Z14" i="1"/>
  <c r="Y14" i="1"/>
  <c r="X14" i="1"/>
  <c r="W14" i="1"/>
  <c r="V14" i="1"/>
  <c r="U14" i="1"/>
  <c r="T14" i="1"/>
  <c r="S14" i="1"/>
  <c r="E12" i="1"/>
  <c r="E11" i="1" s="1"/>
  <c r="D10" i="1"/>
  <c r="E10" i="1" s="1"/>
  <c r="Q9" i="1" l="1"/>
  <c r="M9" i="1"/>
  <c r="N9" i="1"/>
  <c r="Y13" i="1"/>
  <c r="Y12" i="1" s="1"/>
  <c r="Y11" i="1" s="1"/>
  <c r="Y9" i="1" s="1"/>
  <c r="T13" i="1"/>
  <c r="T12" i="1" s="1"/>
  <c r="T11" i="1" s="1"/>
  <c r="T9" i="1" s="1"/>
  <c r="X13" i="1"/>
  <c r="X12" i="1" s="1"/>
  <c r="X11" i="1" s="1"/>
  <c r="X9" i="1" s="1"/>
  <c r="AB13" i="1"/>
  <c r="AB12" i="1" s="1"/>
  <c r="AB11" i="1" s="1"/>
  <c r="AB9" i="1" s="1"/>
  <c r="U13" i="1"/>
  <c r="U12" i="1" s="1"/>
  <c r="U11" i="1" s="1"/>
  <c r="U9" i="1" s="1"/>
  <c r="AC13" i="1"/>
  <c r="AC12" i="1" s="1"/>
  <c r="AC11" i="1" s="1"/>
  <c r="AC9" i="1" s="1"/>
  <c r="V13" i="1"/>
  <c r="V12" i="1" s="1"/>
  <c r="V11" i="1" s="1"/>
  <c r="V9" i="1" s="1"/>
  <c r="Z13" i="1"/>
  <c r="Z12" i="1" s="1"/>
  <c r="Z11" i="1" s="1"/>
  <c r="Z9" i="1" s="1"/>
  <c r="S13" i="1"/>
  <c r="S12" i="1" s="1"/>
  <c r="S11" i="1" s="1"/>
  <c r="S9" i="1" s="1"/>
  <c r="W13" i="1"/>
  <c r="W12" i="1" s="1"/>
  <c r="W11" i="1" s="1"/>
  <c r="W9" i="1" s="1"/>
  <c r="AA13" i="1"/>
  <c r="AA12" i="1" s="1"/>
  <c r="AA11" i="1" s="1"/>
  <c r="AA9" i="1" s="1"/>
  <c r="I41" i="1"/>
  <c r="I40" i="1" s="1"/>
  <c r="I38" i="1" s="1"/>
  <c r="Q41" i="1"/>
  <c r="Q40" i="1" s="1"/>
  <c r="Q38" i="1" s="1"/>
  <c r="M68" i="1"/>
  <c r="M66" i="1" s="1"/>
  <c r="J41" i="1"/>
  <c r="J40" i="1" s="1"/>
  <c r="J38" i="1" s="1"/>
  <c r="K41" i="1"/>
  <c r="K40" i="1" s="1"/>
  <c r="K38" i="1" s="1"/>
  <c r="L41" i="1"/>
  <c r="L40" i="1" s="1"/>
  <c r="L38" i="1" s="1"/>
  <c r="M41" i="1"/>
  <c r="M40" i="1" s="1"/>
  <c r="M38" i="1" s="1"/>
  <c r="N41" i="1"/>
  <c r="N40" i="1" s="1"/>
  <c r="N38" i="1" s="1"/>
  <c r="O41" i="1"/>
  <c r="O40" i="1" s="1"/>
  <c r="O38" i="1" s="1"/>
  <c r="P41" i="1"/>
  <c r="P40" i="1" s="1"/>
  <c r="P38" i="1" s="1"/>
  <c r="AD14" i="1"/>
  <c r="R15" i="1"/>
  <c r="R14" i="1"/>
  <c r="AD15" i="1"/>
  <c r="D57" i="1"/>
  <c r="F57" i="1" s="1"/>
  <c r="D65" i="1"/>
  <c r="F65" i="1" s="1"/>
  <c r="D71" i="1"/>
  <c r="F71" i="1" s="1"/>
  <c r="H68" i="1"/>
  <c r="H66" i="1" s="1"/>
  <c r="P68" i="1"/>
  <c r="P66" i="1" s="1"/>
  <c r="D62" i="1"/>
  <c r="F62" i="1" s="1"/>
  <c r="J68" i="1"/>
  <c r="J66" i="1" s="1"/>
  <c r="S68" i="1"/>
  <c r="S66" i="1" s="1"/>
  <c r="AA68" i="1"/>
  <c r="AA66" i="1" s="1"/>
  <c r="D72" i="1"/>
  <c r="F72" i="1" s="1"/>
  <c r="D56" i="1"/>
  <c r="F56" i="1" s="1"/>
  <c r="D29" i="1"/>
  <c r="F29" i="1" s="1"/>
  <c r="D19" i="1"/>
  <c r="F19" i="1" s="1"/>
  <c r="D23" i="1"/>
  <c r="F23" i="1" s="1"/>
  <c r="D54" i="1"/>
  <c r="F54" i="1" s="1"/>
  <c r="U68" i="1"/>
  <c r="U66" i="1" s="1"/>
  <c r="AC68" i="1"/>
  <c r="AC66" i="1" s="1"/>
  <c r="AD33" i="1"/>
  <c r="AD32" i="1" s="1"/>
  <c r="D24" i="1"/>
  <c r="F24" i="1" s="1"/>
  <c r="D28" i="1"/>
  <c r="F28" i="1" s="1"/>
  <c r="D43" i="1"/>
  <c r="H58" i="1"/>
  <c r="D76" i="1"/>
  <c r="E36" i="1"/>
  <c r="F36" i="1" s="1"/>
  <c r="T41" i="1"/>
  <c r="T40" i="1" s="1"/>
  <c r="T38" i="1" s="1"/>
  <c r="E56" i="4"/>
  <c r="E55" i="4" s="1"/>
  <c r="D18" i="1"/>
  <c r="D22" i="1"/>
  <c r="F22" i="1" s="1"/>
  <c r="D26" i="1"/>
  <c r="F26" i="1" s="1"/>
  <c r="D30" i="1"/>
  <c r="F30" i="1" s="1"/>
  <c r="R52" i="1"/>
  <c r="F10" i="9"/>
  <c r="F7" i="9" s="1"/>
  <c r="D7" i="9"/>
  <c r="G59" i="4"/>
  <c r="G58" i="4" s="1"/>
  <c r="D27" i="1"/>
  <c r="F27" i="1" s="1"/>
  <c r="D31" i="1"/>
  <c r="F31" i="1" s="1"/>
  <c r="D53" i="1"/>
  <c r="F53" i="1" s="1"/>
  <c r="K68" i="1"/>
  <c r="K66" i="1" s="1"/>
  <c r="R80" i="1"/>
  <c r="R79" i="1" s="1"/>
  <c r="R77" i="1" s="1"/>
  <c r="C16" i="11" s="1"/>
  <c r="E16" i="11" s="1"/>
  <c r="L68" i="1"/>
  <c r="L66" i="1" s="1"/>
  <c r="R58" i="1"/>
  <c r="E31" i="4"/>
  <c r="E30" i="4" s="1"/>
  <c r="E41" i="1"/>
  <c r="E40" i="1" s="1"/>
  <c r="E38" i="1" s="1"/>
  <c r="D21" i="1"/>
  <c r="F21" i="1" s="1"/>
  <c r="D25" i="1"/>
  <c r="F25" i="1" s="1"/>
  <c r="AD58" i="1"/>
  <c r="D63" i="1"/>
  <c r="F63" i="1" s="1"/>
  <c r="E34" i="1"/>
  <c r="F34" i="1" s="1"/>
  <c r="E68" i="1"/>
  <c r="E66" i="1" s="1"/>
  <c r="D70" i="1"/>
  <c r="F70" i="1" s="1"/>
  <c r="G68" i="1"/>
  <c r="G66" i="1" s="1"/>
  <c r="O68" i="1"/>
  <c r="O66" i="1" s="1"/>
  <c r="W68" i="1"/>
  <c r="W66" i="1" s="1"/>
  <c r="D75" i="1"/>
  <c r="F75" i="1" s="1"/>
  <c r="D82" i="1"/>
  <c r="D83" i="1"/>
  <c r="F83" i="1" s="1"/>
  <c r="D55" i="1"/>
  <c r="F55" i="1" s="1"/>
  <c r="I68" i="1"/>
  <c r="I66" i="1" s="1"/>
  <c r="Q68" i="1"/>
  <c r="Q66" i="1" s="1"/>
  <c r="Y68" i="1"/>
  <c r="Y66" i="1" s="1"/>
  <c r="AD17" i="1"/>
  <c r="D44" i="1"/>
  <c r="F44" i="1" s="1"/>
  <c r="E35" i="1"/>
  <c r="F35" i="1" s="1"/>
  <c r="G13" i="4"/>
  <c r="E11" i="4"/>
  <c r="E10" i="4" s="1"/>
  <c r="G15" i="4"/>
  <c r="G57" i="4"/>
  <c r="G56" i="4" s="1"/>
  <c r="G35" i="4"/>
  <c r="G77" i="3"/>
  <c r="E72" i="3"/>
  <c r="E55" i="3" s="1"/>
  <c r="AD69" i="1"/>
  <c r="E78" i="1"/>
  <c r="F78" i="1" s="1"/>
  <c r="D81" i="1"/>
  <c r="F81" i="1" s="1"/>
  <c r="R33" i="1"/>
  <c r="E67" i="1"/>
  <c r="F67" i="1" s="1"/>
  <c r="AD52" i="1"/>
  <c r="D59" i="1"/>
  <c r="F59" i="1" s="1"/>
  <c r="AD80" i="1"/>
  <c r="AD79" i="1" s="1"/>
  <c r="AD77" i="1" s="1"/>
  <c r="R17" i="1"/>
  <c r="F39" i="1"/>
  <c r="R69" i="1"/>
  <c r="G114" i="3"/>
  <c r="G113" i="3" s="1"/>
  <c r="F113" i="3"/>
  <c r="F120" i="3"/>
  <c r="G121" i="3"/>
  <c r="G120" i="3" s="1"/>
  <c r="E112" i="3"/>
  <c r="G108" i="3"/>
  <c r="G101" i="3"/>
  <c r="E100" i="3"/>
  <c r="G76" i="3"/>
  <c r="G66" i="3"/>
  <c r="G65" i="3" s="1"/>
  <c r="G26" i="3"/>
  <c r="G20" i="3" s="1"/>
  <c r="G10" i="3" s="1"/>
  <c r="AB41" i="1"/>
  <c r="AB40" i="1" s="1"/>
  <c r="AB38" i="1" s="1"/>
  <c r="W41" i="1"/>
  <c r="W40" i="1" s="1"/>
  <c r="W38" i="1" s="1"/>
  <c r="V41" i="1"/>
  <c r="V40" i="1" s="1"/>
  <c r="V38" i="1" s="1"/>
  <c r="S41" i="1"/>
  <c r="S40" i="1" s="1"/>
  <c r="S38" i="1" s="1"/>
  <c r="AA41" i="1"/>
  <c r="AA40" i="1" s="1"/>
  <c r="AA38" i="1" s="1"/>
  <c r="Z41" i="1"/>
  <c r="Z40" i="1" s="1"/>
  <c r="Z38" i="1" s="1"/>
  <c r="U41" i="1"/>
  <c r="U40" i="1" s="1"/>
  <c r="U38" i="1" s="1"/>
  <c r="AC41" i="1"/>
  <c r="AC40" i="1" s="1"/>
  <c r="AC38" i="1" s="1"/>
  <c r="Y41" i="1"/>
  <c r="Y40" i="1" s="1"/>
  <c r="Y38" i="1" s="1"/>
  <c r="X41" i="1"/>
  <c r="X40" i="1" s="1"/>
  <c r="X38" i="1" s="1"/>
  <c r="G14" i="11" l="1"/>
  <c r="G13" i="11"/>
  <c r="E7" i="4"/>
  <c r="R32" i="1"/>
  <c r="D13" i="11" s="1"/>
  <c r="D57" i="11"/>
  <c r="D58" i="11" s="1"/>
  <c r="F16" i="11"/>
  <c r="H16" i="11" s="1"/>
  <c r="F82" i="1"/>
  <c r="F80" i="1" s="1"/>
  <c r="D80" i="1"/>
  <c r="AD13" i="1"/>
  <c r="AD12" i="1" s="1"/>
  <c r="AD11" i="1" s="1"/>
  <c r="D16" i="1"/>
  <c r="R13" i="1"/>
  <c r="R12" i="1" s="1"/>
  <c r="R11" i="1" s="1"/>
  <c r="T22" i="14"/>
  <c r="V11" i="11"/>
  <c r="J12" i="1"/>
  <c r="J11" i="1" s="1"/>
  <c r="J9" i="1" s="1"/>
  <c r="L12" i="1"/>
  <c r="L11" i="1" s="1"/>
  <c r="L9" i="1" s="1"/>
  <c r="K12" i="1"/>
  <c r="K11" i="1" s="1"/>
  <c r="K9" i="1" s="1"/>
  <c r="I12" i="1"/>
  <c r="I11" i="1" s="1"/>
  <c r="I9" i="1" s="1"/>
  <c r="H12" i="1"/>
  <c r="H11" i="1" s="1"/>
  <c r="H9" i="1" s="1"/>
  <c r="G55" i="4"/>
  <c r="F76" i="1"/>
  <c r="F74" i="1" s="1"/>
  <c r="D74" i="1"/>
  <c r="AA7" i="1"/>
  <c r="D34" i="11" s="1"/>
  <c r="F43" i="1"/>
  <c r="D42" i="1"/>
  <c r="N7" i="1"/>
  <c r="C34" i="11" s="1"/>
  <c r="H41" i="1"/>
  <c r="H40" i="1" s="1"/>
  <c r="H38" i="1" s="1"/>
  <c r="D17" i="1"/>
  <c r="F17" i="1" s="1"/>
  <c r="F18" i="1"/>
  <c r="W7" i="1"/>
  <c r="D30" i="11" s="1"/>
  <c r="G7" i="1"/>
  <c r="C27" i="11" s="1"/>
  <c r="D69" i="1"/>
  <c r="D52" i="1"/>
  <c r="F52" i="1" s="1"/>
  <c r="T7" i="1"/>
  <c r="D27" i="11" s="1"/>
  <c r="V7" i="1"/>
  <c r="D29" i="11" s="1"/>
  <c r="E33" i="1"/>
  <c r="E32" i="1" s="1"/>
  <c r="E9" i="1" s="1"/>
  <c r="Y7" i="1"/>
  <c r="D32" i="11" s="1"/>
  <c r="R68" i="1"/>
  <c r="R66" i="1" s="1"/>
  <c r="C15" i="11" s="1"/>
  <c r="E15" i="11" s="1"/>
  <c r="X7" i="1"/>
  <c r="D31" i="11" s="1"/>
  <c r="D49" i="1"/>
  <c r="F49" i="1" s="1"/>
  <c r="P7" i="1"/>
  <c r="C36" i="11" s="1"/>
  <c r="D27" i="10"/>
  <c r="D26" i="10" s="1"/>
  <c r="D7" i="10" s="1"/>
  <c r="G11" i="4"/>
  <c r="G10" i="4" s="1"/>
  <c r="E27" i="10"/>
  <c r="E26" i="10" s="1"/>
  <c r="E7" i="10" s="1"/>
  <c r="G31" i="4"/>
  <c r="G30" i="4" s="1"/>
  <c r="D61" i="1"/>
  <c r="F61" i="1" s="1"/>
  <c r="O7" i="1"/>
  <c r="C35" i="11" s="1"/>
  <c r="AD68" i="1"/>
  <c r="AD66" i="1" s="1"/>
  <c r="F15" i="11" s="1"/>
  <c r="H15" i="11" s="1"/>
  <c r="AB7" i="1"/>
  <c r="D35" i="11" s="1"/>
  <c r="G72" i="3"/>
  <c r="G55" i="3" s="1"/>
  <c r="G112" i="3"/>
  <c r="E7" i="3"/>
  <c r="D58" i="1"/>
  <c r="F58" i="1" s="1"/>
  <c r="D48" i="1"/>
  <c r="F48" i="1" s="1"/>
  <c r="F112" i="3"/>
  <c r="F7" i="3" s="1"/>
  <c r="G100" i="3"/>
  <c r="S7" i="1"/>
  <c r="D26" i="11" s="1"/>
  <c r="Q7" i="1"/>
  <c r="C37" i="11" s="1"/>
  <c r="E37" i="11" s="1"/>
  <c r="D15" i="1"/>
  <c r="F15" i="1" s="1"/>
  <c r="D51" i="1"/>
  <c r="F51" i="1" s="1"/>
  <c r="R41" i="1"/>
  <c r="R40" i="1" s="1"/>
  <c r="U7" i="1"/>
  <c r="D28" i="11" s="1"/>
  <c r="Z7" i="1"/>
  <c r="D33" i="11" s="1"/>
  <c r="AC7" i="1"/>
  <c r="D36" i="11" s="1"/>
  <c r="M7" i="1"/>
  <c r="C33" i="11" s="1"/>
  <c r="D50" i="1"/>
  <c r="F50" i="1" s="1"/>
  <c r="AD41" i="1"/>
  <c r="AD40" i="1" s="1"/>
  <c r="D47" i="1"/>
  <c r="F47" i="1" s="1"/>
  <c r="D14" i="1"/>
  <c r="U51" i="11" l="1"/>
  <c r="AD38" i="1"/>
  <c r="F14" i="11"/>
  <c r="R38" i="1"/>
  <c r="C14" i="11"/>
  <c r="F42" i="1"/>
  <c r="J13" i="11"/>
  <c r="C13" i="11"/>
  <c r="R9" i="1"/>
  <c r="F13" i="11"/>
  <c r="AD9" i="1"/>
  <c r="G17" i="11"/>
  <c r="G21" i="11" s="1"/>
  <c r="I7" i="1"/>
  <c r="C29" i="11" s="1"/>
  <c r="E29" i="11" s="1"/>
  <c r="K7" i="1"/>
  <c r="C31" i="11" s="1"/>
  <c r="E31" i="11" s="1"/>
  <c r="L7" i="1"/>
  <c r="C32" i="11" s="1"/>
  <c r="E32" i="11" s="1"/>
  <c r="J7" i="1"/>
  <c r="C30" i="11" s="1"/>
  <c r="G7" i="4"/>
  <c r="I15" i="11"/>
  <c r="K15" i="11" s="1"/>
  <c r="I16" i="11"/>
  <c r="K16" i="11" s="1"/>
  <c r="J14" i="11"/>
  <c r="J17" i="11" s="1"/>
  <c r="J21" i="11" s="1"/>
  <c r="D17" i="11"/>
  <c r="D21" i="11" s="1"/>
  <c r="D12" i="1"/>
  <c r="D13" i="1"/>
  <c r="F16" i="1"/>
  <c r="H7" i="1"/>
  <c r="C28" i="11" s="1"/>
  <c r="E28" i="11" s="1"/>
  <c r="E34" i="11"/>
  <c r="D68" i="1"/>
  <c r="F68" i="1" s="1"/>
  <c r="F33" i="1"/>
  <c r="F14" i="1"/>
  <c r="F69" i="1"/>
  <c r="E27" i="11"/>
  <c r="E35" i="11"/>
  <c r="E33" i="11"/>
  <c r="E36" i="11"/>
  <c r="E26" i="11"/>
  <c r="D38" i="11"/>
  <c r="F27" i="10"/>
  <c r="G7" i="3"/>
  <c r="D79" i="1"/>
  <c r="F32" i="1"/>
  <c r="D46" i="1"/>
  <c r="D41" i="1" s="1"/>
  <c r="J51" i="11" l="1"/>
  <c r="E30" i="11"/>
  <c r="E38" i="11" s="1"/>
  <c r="R51" i="11"/>
  <c r="H14" i="11"/>
  <c r="E14" i="11"/>
  <c r="E13" i="11"/>
  <c r="I13" i="11"/>
  <c r="D60" i="11"/>
  <c r="D62" i="11" s="1"/>
  <c r="I14" i="11"/>
  <c r="K14" i="11" s="1"/>
  <c r="R7" i="1"/>
  <c r="AD7" i="1"/>
  <c r="F13" i="1"/>
  <c r="C38" i="11"/>
  <c r="D66" i="1"/>
  <c r="F66" i="1" s="1"/>
  <c r="E7" i="1"/>
  <c r="F26" i="10"/>
  <c r="F7" i="10" s="1"/>
  <c r="F79" i="1"/>
  <c r="D77" i="1"/>
  <c r="F46" i="1"/>
  <c r="D11" i="1"/>
  <c r="D9" i="1" s="1"/>
  <c r="F12" i="1"/>
  <c r="E17" i="11" l="1"/>
  <c r="E21" i="11" s="1"/>
  <c r="C17" i="11"/>
  <c r="C21" i="11" s="1"/>
  <c r="F17" i="11"/>
  <c r="H13" i="11"/>
  <c r="H17" i="11" s="1"/>
  <c r="T24" i="14"/>
  <c r="F77" i="1"/>
  <c r="F41" i="1"/>
  <c r="F40" i="1" s="1"/>
  <c r="F38" i="1" s="1"/>
  <c r="D40" i="1"/>
  <c r="D38" i="1" s="1"/>
  <c r="D7" i="1" s="1"/>
  <c r="F11" i="1"/>
  <c r="F9" i="1" s="1"/>
  <c r="I17" i="11" l="1"/>
  <c r="K13" i="11"/>
  <c r="H21" i="11"/>
  <c r="F21" i="11"/>
  <c r="T32" i="14"/>
  <c r="V16" i="11"/>
  <c r="T30" i="14"/>
  <c r="V15" i="11"/>
  <c r="F7" i="1" l="1"/>
  <c r="T26" i="14" l="1"/>
  <c r="V13" i="11"/>
  <c r="K17" i="11"/>
  <c r="S10" i="11" l="1"/>
  <c r="K21" i="11"/>
  <c r="I18" i="11"/>
  <c r="D18" i="11"/>
  <c r="J18" i="11"/>
  <c r="C18" i="11"/>
  <c r="G18" i="11"/>
  <c r="H18" i="11"/>
  <c r="F18" i="11"/>
  <c r="I21" i="11"/>
  <c r="T28" i="14"/>
  <c r="T34" i="14" s="1"/>
  <c r="V14" i="11"/>
  <c r="V17" i="11" s="1"/>
  <c r="S12" i="11" l="1"/>
  <c r="S15" i="11"/>
  <c r="S13" i="11"/>
  <c r="S16" i="11"/>
  <c r="S11" i="11"/>
  <c r="E18" i="11"/>
  <c r="S14" i="11"/>
  <c r="K18" i="11" l="1"/>
  <c r="S17" i="11"/>
  <c r="E23" i="7"/>
  <c r="E12" i="7" s="1"/>
  <c r="G23" i="7" l="1"/>
  <c r="G12" i="7" s="1"/>
  <c r="E57" i="7"/>
  <c r="F57" i="7" s="1"/>
  <c r="E11" i="7" l="1"/>
  <c r="E9" i="7" s="1"/>
  <c r="G11" i="7" l="1"/>
  <c r="G9" i="7" s="1"/>
  <c r="E7" i="7" l="1"/>
  <c r="G7" i="7" s="1"/>
  <c r="G101" i="7"/>
  <c r="G112" i="7"/>
  <c r="N15" i="11"/>
  <c r="P15" i="11" s="1"/>
  <c r="Q15" i="11" s="1"/>
  <c r="N16" i="11"/>
  <c r="N12" i="11"/>
  <c r="N13" i="11"/>
  <c r="N11" i="11"/>
  <c r="P11" i="11" s="1"/>
  <c r="Q11" i="11" s="1"/>
  <c r="N14" i="11"/>
  <c r="P14" i="11" s="1"/>
  <c r="N10" i="11"/>
  <c r="P10" i="11" s="1"/>
  <c r="P16" i="11" l="1"/>
  <c r="Q16" i="11" s="1"/>
  <c r="O12" i="11"/>
  <c r="P12" i="11"/>
  <c r="P13" i="11"/>
  <c r="Q13" i="11" s="1"/>
  <c r="Q14" i="11"/>
  <c r="Q10" i="11"/>
  <c r="P17" i="11" l="1"/>
  <c r="P19" i="11" s="1"/>
  <c r="Q12" i="11"/>
  <c r="R12" i="11" s="1"/>
  <c r="P21" i="11" l="1"/>
  <c r="Q17" i="11"/>
  <c r="O16" i="11"/>
  <c r="R16" i="11" s="1"/>
  <c r="O11" i="11"/>
  <c r="R11" i="11" s="1"/>
  <c r="O14" i="11"/>
  <c r="R14" i="11" s="1"/>
  <c r="O15" i="11"/>
  <c r="R15" i="11" s="1"/>
  <c r="O13" i="11"/>
  <c r="R13" i="11" s="1"/>
  <c r="O10" i="11"/>
  <c r="O17" i="11" l="1"/>
  <c r="O21" i="11" s="1"/>
  <c r="S32" i="14"/>
  <c r="S20" i="14"/>
  <c r="R17" i="11"/>
  <c r="S26" i="14"/>
  <c r="S30" i="14"/>
  <c r="S24" i="14"/>
  <c r="S22" i="14"/>
  <c r="S28" i="14"/>
  <c r="S34" i="14" l="1"/>
  <c r="N34" i="14" l="1"/>
  <c r="K19" i="11" s="1"/>
  <c r="E37" i="15"/>
  <c r="E34" i="15"/>
  <c r="E36" i="15"/>
  <c r="E29" i="15"/>
  <c r="E28" i="15"/>
  <c r="E27" i="15"/>
  <c r="E31" i="15"/>
  <c r="E33" i="15"/>
  <c r="E26" i="15"/>
  <c r="E30" i="15"/>
  <c r="E32" i="15"/>
  <c r="I12" i="15"/>
  <c r="G10" i="15"/>
  <c r="I11" i="15"/>
  <c r="C11" i="15"/>
  <c r="F13" i="15"/>
  <c r="F11" i="15"/>
  <c r="I10" i="15"/>
  <c r="C14" i="15"/>
  <c r="G14" i="15"/>
  <c r="G19" i="11"/>
  <c r="C16" i="15"/>
  <c r="J12" i="15"/>
  <c r="F19" i="11"/>
  <c r="G11" i="15"/>
  <c r="C13" i="15"/>
  <c r="F15" i="15"/>
  <c r="I15" i="15"/>
  <c r="G15" i="15"/>
  <c r="J14" i="15"/>
  <c r="D10" i="15"/>
  <c r="I16" i="15"/>
  <c r="C26" i="15"/>
  <c r="D26" i="15" s="1"/>
  <c r="I14" i="15"/>
  <c r="D16" i="15"/>
  <c r="H19" i="11"/>
  <c r="D13" i="15"/>
  <c r="C12" i="15"/>
  <c r="C36" i="15"/>
  <c r="F14" i="15"/>
  <c r="D15" i="15"/>
  <c r="F16" i="15"/>
  <c r="D14" i="15"/>
  <c r="C35" i="15"/>
  <c r="C37" i="15"/>
  <c r="C10" i="15"/>
  <c r="J11" i="15"/>
  <c r="C27" i="15"/>
  <c r="C29" i="15"/>
  <c r="D19" i="11"/>
  <c r="G12" i="15"/>
  <c r="D12" i="15"/>
  <c r="F10" i="15"/>
  <c r="J10" i="15"/>
  <c r="F12" i="15"/>
  <c r="C15" i="15"/>
  <c r="C32" i="15"/>
  <c r="C33" i="15"/>
  <c r="C34" i="15"/>
  <c r="J15" i="15"/>
  <c r="C28" i="15"/>
  <c r="I19" i="11"/>
  <c r="J16" i="15"/>
  <c r="G13" i="15"/>
  <c r="J19" i="11"/>
  <c r="D11" i="15"/>
  <c r="C31" i="15"/>
  <c r="E19" i="11"/>
  <c r="C19" i="11"/>
  <c r="G16" i="15"/>
  <c r="I13" i="15"/>
  <c r="J13" i="15"/>
  <c r="C30" i="15"/>
  <c r="K10" i="15" l="1"/>
  <c r="E35" i="15"/>
  <c r="E15" i="15"/>
  <c r="H12" i="15"/>
  <c r="H14" i="15"/>
  <c r="K14" i="15"/>
  <c r="D27" i="15"/>
  <c r="D28" i="15" s="1"/>
  <c r="D29" i="15" s="1"/>
  <c r="D30" i="15" s="1"/>
  <c r="D31" i="15" s="1"/>
  <c r="D32" i="15" s="1"/>
  <c r="D33" i="15" s="1"/>
  <c r="D34" i="15" s="1"/>
  <c r="D35" i="15" s="1"/>
  <c r="D36" i="15" s="1"/>
  <c r="D37" i="15" s="1"/>
  <c r="E38" i="15"/>
  <c r="F26" i="15"/>
  <c r="F27" i="15" s="1"/>
  <c r="F28" i="15" s="1"/>
  <c r="F29" i="15" s="1"/>
  <c r="F30" i="15" s="1"/>
  <c r="F31" i="15" s="1"/>
  <c r="F32" i="15" s="1"/>
  <c r="F33" i="15" s="1"/>
  <c r="F34" i="15" s="1"/>
  <c r="F35" i="15" s="1"/>
  <c r="F36" i="15" s="1"/>
  <c r="F37" i="15" s="1"/>
  <c r="E14" i="15"/>
  <c r="E11" i="15"/>
  <c r="E12" i="15"/>
  <c r="D17" i="15"/>
  <c r="K13" i="15"/>
  <c r="J17" i="15"/>
  <c r="C17" i="15"/>
  <c r="E10" i="15"/>
  <c r="Q14" i="15"/>
  <c r="I17" i="15"/>
  <c r="K11" i="15"/>
  <c r="H10" i="15"/>
  <c r="F17" i="15"/>
  <c r="G17" i="15"/>
  <c r="H16" i="15"/>
  <c r="C38" i="15"/>
  <c r="H15" i="15"/>
  <c r="H11" i="15"/>
  <c r="K16" i="15"/>
  <c r="K15" i="15"/>
  <c r="E13" i="15"/>
  <c r="E16" i="15"/>
  <c r="H13" i="15"/>
  <c r="K12" i="15"/>
  <c r="K17" i="15" l="1"/>
  <c r="Q16" i="15"/>
  <c r="Q11" i="15"/>
  <c r="Q12" i="15"/>
  <c r="R14" i="15"/>
  <c r="E17" i="15"/>
  <c r="Q13" i="15"/>
  <c r="H17" i="15"/>
  <c r="Q15" i="15"/>
  <c r="R15" i="15" l="1"/>
  <c r="D18" i="15"/>
  <c r="I18" i="15"/>
  <c r="E18" i="15"/>
  <c r="G18" i="15"/>
  <c r="F18" i="15"/>
  <c r="H18" i="15"/>
  <c r="R11" i="15"/>
  <c r="R10" i="15"/>
  <c r="R12" i="15"/>
  <c r="R16" i="15"/>
  <c r="C18" i="15"/>
  <c r="R13" i="15"/>
  <c r="Q10" i="15"/>
  <c r="Q17" i="15" s="1"/>
  <c r="J18" i="15"/>
  <c r="K18" i="15" l="1"/>
  <c r="R17" i="15"/>
  <c r="O13" i="15"/>
  <c r="O15" i="15"/>
  <c r="O16" i="15"/>
  <c r="O11" i="15"/>
  <c r="O12" i="15"/>
  <c r="O10" i="15"/>
  <c r="O17" i="15" s="1"/>
  <c r="O14" i="15"/>
</calcChain>
</file>

<file path=xl/comments1.xml><?xml version="1.0" encoding="utf-8"?>
<comments xmlns="http://schemas.openxmlformats.org/spreadsheetml/2006/main">
  <authors>
    <author>SARA OROZCO</author>
  </authors>
  <commentList>
    <comment ref="X11" authorId="0">
      <text>
        <r>
          <rPr>
            <b/>
            <sz val="9"/>
            <color indexed="81"/>
            <rFont val="Tahoma"/>
            <family val="2"/>
          </rPr>
          <t>SARA OROZCO:</t>
        </r>
        <r>
          <rPr>
            <sz val="9"/>
            <color indexed="81"/>
            <rFont val="Tahoma"/>
            <family val="2"/>
          </rPr>
          <t xml:space="preserve">
se quitó de MAIMI
</t>
        </r>
      </text>
    </comment>
  </commentList>
</comments>
</file>

<file path=xl/comments10.xml><?xml version="1.0" encoding="utf-8"?>
<comments xmlns="http://schemas.openxmlformats.org/spreadsheetml/2006/main">
  <authors>
    <author>PLANIFICACION_PREVI</author>
  </authors>
  <commentList>
    <comment ref="A10" authorId="0">
      <text>
        <r>
          <rPr>
            <b/>
            <sz val="9"/>
            <color indexed="81"/>
            <rFont val="Tahoma"/>
            <family val="2"/>
          </rPr>
          <t>PLANIFICACION_PREVI:</t>
        </r>
        <r>
          <rPr>
            <sz val="9"/>
            <color indexed="81"/>
            <rFont val="Tahoma"/>
            <family val="2"/>
          </rPr>
          <t xml:space="preserve">
POA 2018-2020 
Q900,349.81</t>
        </r>
      </text>
    </comment>
    <comment ref="C26" authorId="0">
      <text>
        <r>
          <rPr>
            <b/>
            <sz val="9"/>
            <color indexed="81"/>
            <rFont val="Tahoma"/>
            <family val="2"/>
          </rPr>
          <t>PLANIFICACION_PREVI:</t>
        </r>
        <r>
          <rPr>
            <sz val="9"/>
            <color indexed="81"/>
            <rFont val="Tahoma"/>
            <family val="2"/>
          </rPr>
          <t xml:space="preserve">
Q 15,600.00</t>
        </r>
      </text>
    </comment>
  </commentList>
</comments>
</file>

<file path=xl/comments11.xml><?xml version="1.0" encoding="utf-8"?>
<comments xmlns="http://schemas.openxmlformats.org/spreadsheetml/2006/main">
  <authors>
    <author>PLANIFICACION_PREVI</author>
  </authors>
  <commentList>
    <comment ref="I28" authorId="0">
      <text>
        <r>
          <rPr>
            <b/>
            <sz val="9"/>
            <color indexed="81"/>
            <rFont val="Tahoma"/>
            <family val="2"/>
          </rPr>
          <t xml:space="preserve">7,375.00
</t>
        </r>
        <r>
          <rPr>
            <sz val="9"/>
            <color indexed="81"/>
            <rFont val="Tahoma"/>
            <family val="2"/>
          </rPr>
          <t xml:space="preserve">
habían 8,000.00</t>
        </r>
      </text>
    </comment>
  </commentList>
</comments>
</file>

<file path=xl/comments2.xml><?xml version="1.0" encoding="utf-8"?>
<comments xmlns="http://schemas.openxmlformats.org/spreadsheetml/2006/main">
  <authors>
    <author>PLANIFICACION_PREVI</author>
  </authors>
  <commentList>
    <comment ref="A73" authorId="0">
      <text>
        <r>
          <rPr>
            <b/>
            <sz val="9"/>
            <color indexed="81"/>
            <rFont val="Tahoma"/>
            <family val="2"/>
          </rPr>
          <t>PLANIFICACION_PREVI:</t>
        </r>
        <r>
          <rPr>
            <sz val="9"/>
            <color indexed="81"/>
            <rFont val="Tahoma"/>
            <family val="2"/>
          </rPr>
          <t xml:space="preserve">
Ejecución 2018-2020
Q157,846.00</t>
        </r>
      </text>
    </comment>
    <comment ref="A89" authorId="0">
      <text>
        <r>
          <rPr>
            <b/>
            <sz val="9"/>
            <color indexed="81"/>
            <rFont val="Tahoma"/>
            <family val="2"/>
          </rPr>
          <t>PLANIFICACION_PREVI:</t>
        </r>
        <r>
          <rPr>
            <sz val="9"/>
            <color indexed="81"/>
            <rFont val="Tahoma"/>
            <family val="2"/>
          </rPr>
          <t xml:space="preserve">
Ejecución 2018-2020
11,781.80</t>
        </r>
      </text>
    </comment>
    <comment ref="A94" authorId="0">
      <text>
        <r>
          <rPr>
            <b/>
            <sz val="9"/>
            <color indexed="81"/>
            <rFont val="Tahoma"/>
            <family val="2"/>
          </rPr>
          <t>PLANIFICACION_PREVI:</t>
        </r>
        <r>
          <rPr>
            <sz val="9"/>
            <color indexed="81"/>
            <rFont val="Tahoma"/>
            <family val="2"/>
          </rPr>
          <t xml:space="preserve">
Ejecución 2018-2020
Q78,988.45</t>
        </r>
      </text>
    </comment>
    <comment ref="A101" authorId="0">
      <text>
        <r>
          <rPr>
            <b/>
            <sz val="9"/>
            <color indexed="81"/>
            <rFont val="Tahoma"/>
            <family val="2"/>
          </rPr>
          <t>PLANIFICACION_PREVI:</t>
        </r>
        <r>
          <rPr>
            <sz val="9"/>
            <color indexed="81"/>
            <rFont val="Tahoma"/>
            <family val="2"/>
          </rPr>
          <t xml:space="preserve">
Ejecución 2018-2020
Q21,715.00</t>
        </r>
      </text>
    </comment>
    <comment ref="A104" authorId="0">
      <text>
        <r>
          <rPr>
            <b/>
            <sz val="9"/>
            <color indexed="81"/>
            <rFont val="Tahoma"/>
            <family val="2"/>
          </rPr>
          <t>PLANIFICACION_PREVI:</t>
        </r>
        <r>
          <rPr>
            <sz val="9"/>
            <color indexed="81"/>
            <rFont val="Tahoma"/>
            <family val="2"/>
          </rPr>
          <t xml:space="preserve">
Ejecución 2018-2020
Q21,715.00</t>
        </r>
      </text>
    </comment>
    <comment ref="A129" authorId="0">
      <text>
        <r>
          <rPr>
            <b/>
            <sz val="9"/>
            <color indexed="81"/>
            <rFont val="Tahoma"/>
            <family val="2"/>
          </rPr>
          <t>PLANIFICACION_PREVI:</t>
        </r>
        <r>
          <rPr>
            <sz val="9"/>
            <color indexed="81"/>
            <rFont val="Tahoma"/>
            <family val="2"/>
          </rPr>
          <t xml:space="preserve">
Como paquete Q2,264,465.69 y la actividad A9 Q0.00</t>
        </r>
      </text>
    </comment>
    <comment ref="A148" authorId="0">
      <text>
        <r>
          <rPr>
            <b/>
            <sz val="9"/>
            <color indexed="81"/>
            <rFont val="Tahoma"/>
            <family val="2"/>
          </rPr>
          <t>PLANIFICACION_PREVI:</t>
        </r>
        <r>
          <rPr>
            <sz val="9"/>
            <color indexed="81"/>
            <rFont val="Tahoma"/>
            <family val="2"/>
          </rPr>
          <t xml:space="preserve">
POA 2018-2020 
Q900,349.81</t>
        </r>
      </text>
    </comment>
    <comment ref="C153" authorId="0">
      <text>
        <r>
          <rPr>
            <b/>
            <sz val="9"/>
            <color indexed="81"/>
            <rFont val="Tahoma"/>
            <family val="2"/>
          </rPr>
          <t>PLANIFICACION_PREVI:</t>
        </r>
        <r>
          <rPr>
            <sz val="9"/>
            <color indexed="81"/>
            <rFont val="Tahoma"/>
            <family val="2"/>
          </rPr>
          <t xml:space="preserve">
Q 15,600.00</t>
        </r>
      </text>
    </comment>
  </commentList>
</comments>
</file>

<file path=xl/comments3.xml><?xml version="1.0" encoding="utf-8"?>
<comments xmlns="http://schemas.openxmlformats.org/spreadsheetml/2006/main">
  <authors>
    <author>PLANIFICACION_PREVI</author>
  </authors>
  <commentList>
    <comment ref="A56" authorId="0">
      <text>
        <r>
          <rPr>
            <b/>
            <sz val="9"/>
            <color indexed="81"/>
            <rFont val="Tahoma"/>
            <family val="2"/>
          </rPr>
          <t>PLANIFICACION_PREVI:</t>
        </r>
        <r>
          <rPr>
            <sz val="9"/>
            <color indexed="81"/>
            <rFont val="Tahoma"/>
            <family val="2"/>
          </rPr>
          <t xml:space="preserve">
Ejecución 2018-2020
Q157,846.00</t>
        </r>
      </text>
    </comment>
    <comment ref="A72" authorId="0">
      <text>
        <r>
          <rPr>
            <b/>
            <sz val="9"/>
            <color indexed="81"/>
            <rFont val="Tahoma"/>
            <family val="2"/>
          </rPr>
          <t>PLANIFICACION_PREVI:</t>
        </r>
        <r>
          <rPr>
            <sz val="9"/>
            <color indexed="81"/>
            <rFont val="Tahoma"/>
            <family val="2"/>
          </rPr>
          <t xml:space="preserve">
Ejecución 2018-2020
11,781.80</t>
        </r>
      </text>
    </comment>
    <comment ref="A77" authorId="0">
      <text>
        <r>
          <rPr>
            <b/>
            <sz val="9"/>
            <color indexed="81"/>
            <rFont val="Tahoma"/>
            <family val="2"/>
          </rPr>
          <t>PLANIFICACION_PREVI:</t>
        </r>
        <r>
          <rPr>
            <sz val="9"/>
            <color indexed="81"/>
            <rFont val="Tahoma"/>
            <family val="2"/>
          </rPr>
          <t xml:space="preserve">
Ejecución 2018-2020
Q78,988.45</t>
        </r>
      </text>
    </comment>
    <comment ref="A84" authorId="0">
      <text>
        <r>
          <rPr>
            <b/>
            <sz val="9"/>
            <color indexed="81"/>
            <rFont val="Tahoma"/>
            <family val="2"/>
          </rPr>
          <t>PLANIFICACION_PREVI:</t>
        </r>
        <r>
          <rPr>
            <sz val="9"/>
            <color indexed="81"/>
            <rFont val="Tahoma"/>
            <family val="2"/>
          </rPr>
          <t xml:space="preserve">
Ejecución 2018-2020
Q21,715.00</t>
        </r>
      </text>
    </comment>
    <comment ref="A87" authorId="0">
      <text>
        <r>
          <rPr>
            <b/>
            <sz val="9"/>
            <color indexed="81"/>
            <rFont val="Tahoma"/>
            <family val="2"/>
          </rPr>
          <t>PLANIFICACION_PREVI:</t>
        </r>
        <r>
          <rPr>
            <sz val="9"/>
            <color indexed="81"/>
            <rFont val="Tahoma"/>
            <family val="2"/>
          </rPr>
          <t xml:space="preserve">
Ejecución 2018-2020
Q21,715.00</t>
        </r>
      </text>
    </comment>
    <comment ref="A112" authorId="0">
      <text>
        <r>
          <rPr>
            <b/>
            <sz val="9"/>
            <color indexed="81"/>
            <rFont val="Tahoma"/>
            <family val="2"/>
          </rPr>
          <t>PLANIFICACION_PREVI:</t>
        </r>
        <r>
          <rPr>
            <sz val="9"/>
            <color indexed="81"/>
            <rFont val="Tahoma"/>
            <family val="2"/>
          </rPr>
          <t xml:space="preserve">
Como paquete Q2,264,465.69 y la actividad A9 Q0.00</t>
        </r>
      </text>
    </comment>
    <comment ref="A131" authorId="0">
      <text>
        <r>
          <rPr>
            <b/>
            <sz val="9"/>
            <color indexed="81"/>
            <rFont val="Tahoma"/>
            <family val="2"/>
          </rPr>
          <t>PLANIFICACION_PREVI:</t>
        </r>
        <r>
          <rPr>
            <sz val="9"/>
            <color indexed="81"/>
            <rFont val="Tahoma"/>
            <family val="2"/>
          </rPr>
          <t xml:space="preserve">
POA 2018-2020 
Q900,349.81</t>
        </r>
      </text>
    </comment>
    <comment ref="C136" authorId="0">
      <text>
        <r>
          <rPr>
            <b/>
            <sz val="9"/>
            <color indexed="81"/>
            <rFont val="Tahoma"/>
            <family val="2"/>
          </rPr>
          <t>PLANIFICACION_PREVI:</t>
        </r>
        <r>
          <rPr>
            <sz val="9"/>
            <color indexed="81"/>
            <rFont val="Tahoma"/>
            <family val="2"/>
          </rPr>
          <t xml:space="preserve">
Q 15,600.00</t>
        </r>
      </text>
    </comment>
  </commentList>
</comments>
</file>

<file path=xl/comments4.xml><?xml version="1.0" encoding="utf-8"?>
<comments xmlns="http://schemas.openxmlformats.org/spreadsheetml/2006/main">
  <authors>
    <author>PLANIFICACION_PREVI</author>
  </authors>
  <commentList>
    <comment ref="A9" authorId="0">
      <text>
        <r>
          <rPr>
            <b/>
            <sz val="9"/>
            <color indexed="81"/>
            <rFont val="Tahoma"/>
            <family val="2"/>
          </rPr>
          <t>PLANIFICACION_PREVI:</t>
        </r>
        <r>
          <rPr>
            <sz val="9"/>
            <color indexed="81"/>
            <rFont val="Tahoma"/>
            <family val="2"/>
          </rPr>
          <t xml:space="preserve">
Ejecución 2018-2020
Q157,846.00</t>
        </r>
      </text>
    </comment>
    <comment ref="A33" authorId="0">
      <text>
        <r>
          <rPr>
            <b/>
            <sz val="9"/>
            <color indexed="81"/>
            <rFont val="Tahoma"/>
            <family val="2"/>
          </rPr>
          <t>PLANIFICACION_PREVI:</t>
        </r>
        <r>
          <rPr>
            <sz val="9"/>
            <color indexed="81"/>
            <rFont val="Tahoma"/>
            <family val="2"/>
          </rPr>
          <t xml:space="preserve">
Ejecución 2018-2020
11,781.80</t>
        </r>
      </text>
    </comment>
    <comment ref="A38" authorId="0">
      <text>
        <r>
          <rPr>
            <b/>
            <sz val="9"/>
            <color indexed="81"/>
            <rFont val="Tahoma"/>
            <family val="2"/>
          </rPr>
          <t>PLANIFICACION_PREVI:</t>
        </r>
        <r>
          <rPr>
            <sz val="9"/>
            <color indexed="81"/>
            <rFont val="Tahoma"/>
            <family val="2"/>
          </rPr>
          <t xml:space="preserve">
Ejecución 2018-2020
Q78,988.45</t>
        </r>
      </text>
    </comment>
    <comment ref="A48" authorId="0">
      <text>
        <r>
          <rPr>
            <b/>
            <sz val="9"/>
            <color indexed="81"/>
            <rFont val="Tahoma"/>
            <family val="2"/>
          </rPr>
          <t>PLANIFICACION_PREVI:</t>
        </r>
        <r>
          <rPr>
            <sz val="9"/>
            <color indexed="81"/>
            <rFont val="Tahoma"/>
            <family val="2"/>
          </rPr>
          <t xml:space="preserve">
Ejecución 2018-2020
Q21,715.00</t>
        </r>
      </text>
    </comment>
    <comment ref="A51" authorId="0">
      <text>
        <r>
          <rPr>
            <b/>
            <sz val="9"/>
            <color indexed="81"/>
            <rFont val="Tahoma"/>
            <family val="2"/>
          </rPr>
          <t>PLANIFICACION_PREVI:</t>
        </r>
        <r>
          <rPr>
            <sz val="9"/>
            <color indexed="81"/>
            <rFont val="Tahoma"/>
            <family val="2"/>
          </rPr>
          <t xml:space="preserve">
Ejecución 2018-2020
Q21,715.00</t>
        </r>
      </text>
    </comment>
    <comment ref="A88" authorId="0">
      <text>
        <r>
          <rPr>
            <b/>
            <sz val="9"/>
            <color indexed="81"/>
            <rFont val="Tahoma"/>
            <family val="2"/>
          </rPr>
          <t>PLANIFICACION_PREVI:</t>
        </r>
        <r>
          <rPr>
            <sz val="9"/>
            <color indexed="81"/>
            <rFont val="Tahoma"/>
            <family val="2"/>
          </rPr>
          <t xml:space="preserve">
Como paquete Q2,264,465.69 y la actividad A9 Q0.00</t>
        </r>
      </text>
    </comment>
    <comment ref="A107" authorId="0">
      <text>
        <r>
          <rPr>
            <b/>
            <sz val="9"/>
            <color indexed="81"/>
            <rFont val="Tahoma"/>
            <family val="2"/>
          </rPr>
          <t>PLANIFICACION_PREVI:</t>
        </r>
        <r>
          <rPr>
            <sz val="9"/>
            <color indexed="81"/>
            <rFont val="Tahoma"/>
            <family val="2"/>
          </rPr>
          <t xml:space="preserve">
POA 2018-2020 
Q900,349.81</t>
        </r>
      </text>
    </comment>
    <comment ref="C124" authorId="0">
      <text>
        <r>
          <rPr>
            <b/>
            <sz val="9"/>
            <color indexed="81"/>
            <rFont val="Tahoma"/>
            <family val="2"/>
          </rPr>
          <t>PLANIFICACION_PREVI:</t>
        </r>
        <r>
          <rPr>
            <sz val="9"/>
            <color indexed="81"/>
            <rFont val="Tahoma"/>
            <family val="2"/>
          </rPr>
          <t xml:space="preserve">
Q 15,600.00</t>
        </r>
      </text>
    </comment>
  </commentList>
</comments>
</file>

<file path=xl/comments5.xml><?xml version="1.0" encoding="utf-8"?>
<comments xmlns="http://schemas.openxmlformats.org/spreadsheetml/2006/main">
  <authors>
    <author>PLANIFICACION_PREVI</author>
  </authors>
  <commentList>
    <comment ref="A9" authorId="0">
      <text>
        <r>
          <rPr>
            <b/>
            <sz val="9"/>
            <color indexed="81"/>
            <rFont val="Tahoma"/>
            <family val="2"/>
          </rPr>
          <t>PLANIFICACION_PREVI:</t>
        </r>
        <r>
          <rPr>
            <sz val="9"/>
            <color indexed="81"/>
            <rFont val="Tahoma"/>
            <family val="2"/>
          </rPr>
          <t xml:space="preserve">
Ejecución 2018-2020
Q157,846.00</t>
        </r>
      </text>
    </comment>
    <comment ref="A25" authorId="0">
      <text>
        <r>
          <rPr>
            <b/>
            <sz val="9"/>
            <color indexed="81"/>
            <rFont val="Tahoma"/>
            <family val="2"/>
          </rPr>
          <t>PLANIFICACION_PREVI:</t>
        </r>
        <r>
          <rPr>
            <sz val="9"/>
            <color indexed="81"/>
            <rFont val="Tahoma"/>
            <family val="2"/>
          </rPr>
          <t xml:space="preserve">
Ejecución 2018-2020
11,781.80</t>
        </r>
      </text>
    </comment>
    <comment ref="A30" authorId="0">
      <text>
        <r>
          <rPr>
            <b/>
            <sz val="9"/>
            <color indexed="81"/>
            <rFont val="Tahoma"/>
            <family val="2"/>
          </rPr>
          <t>PLANIFICACION_PREVI:</t>
        </r>
        <r>
          <rPr>
            <sz val="9"/>
            <color indexed="81"/>
            <rFont val="Tahoma"/>
            <family val="2"/>
          </rPr>
          <t xml:space="preserve">
Ejecución 2018-2020
Q78,988.45</t>
        </r>
      </text>
    </comment>
    <comment ref="A37" authorId="0">
      <text>
        <r>
          <rPr>
            <b/>
            <sz val="9"/>
            <color indexed="81"/>
            <rFont val="Tahoma"/>
            <family val="2"/>
          </rPr>
          <t>PLANIFICACION_PREVI:</t>
        </r>
        <r>
          <rPr>
            <sz val="9"/>
            <color indexed="81"/>
            <rFont val="Tahoma"/>
            <family val="2"/>
          </rPr>
          <t xml:space="preserve">
Ejecución 2018-2020
Q21,715.00</t>
        </r>
      </text>
    </comment>
    <comment ref="A40" authorId="0">
      <text>
        <r>
          <rPr>
            <b/>
            <sz val="9"/>
            <color indexed="81"/>
            <rFont val="Tahoma"/>
            <family val="2"/>
          </rPr>
          <t>PLANIFICACION_PREVI:</t>
        </r>
        <r>
          <rPr>
            <sz val="9"/>
            <color indexed="81"/>
            <rFont val="Tahoma"/>
            <family val="2"/>
          </rPr>
          <t xml:space="preserve">
Ejecución 2018-2020
Q21,715.00</t>
        </r>
      </text>
    </comment>
  </commentList>
</comments>
</file>

<file path=xl/comments6.xml><?xml version="1.0" encoding="utf-8"?>
<comments xmlns="http://schemas.openxmlformats.org/spreadsheetml/2006/main">
  <authors>
    <author>PLANIFICACION_PREVI</author>
  </authors>
  <commentList>
    <comment ref="A10" authorId="0">
      <text>
        <r>
          <rPr>
            <b/>
            <sz val="9"/>
            <color indexed="81"/>
            <rFont val="Tahoma"/>
            <family val="2"/>
          </rPr>
          <t>PLANIFICACION_PREVI:</t>
        </r>
        <r>
          <rPr>
            <sz val="9"/>
            <color indexed="81"/>
            <rFont val="Tahoma"/>
            <family val="2"/>
          </rPr>
          <t xml:space="preserve">
Ejecución 2018-2020
Q157,846.00</t>
        </r>
      </text>
    </comment>
    <comment ref="A50" authorId="0">
      <text>
        <r>
          <rPr>
            <b/>
            <sz val="9"/>
            <color indexed="81"/>
            <rFont val="Tahoma"/>
            <family val="2"/>
          </rPr>
          <t>PLANIFICACION_PREVI:</t>
        </r>
        <r>
          <rPr>
            <sz val="9"/>
            <color indexed="81"/>
            <rFont val="Tahoma"/>
            <family val="2"/>
          </rPr>
          <t xml:space="preserve">
Ejecución 2018-2020
11,781.80</t>
        </r>
      </text>
    </comment>
    <comment ref="A66" authorId="0">
      <text>
        <r>
          <rPr>
            <b/>
            <sz val="9"/>
            <color indexed="81"/>
            <rFont val="Tahoma"/>
            <family val="2"/>
          </rPr>
          <t>PLANIFICACION_PREVI:</t>
        </r>
        <r>
          <rPr>
            <sz val="9"/>
            <color indexed="81"/>
            <rFont val="Tahoma"/>
            <family val="2"/>
          </rPr>
          <t xml:space="preserve">
Ejecución 2018-2020
Q78,988.45</t>
        </r>
      </text>
    </comment>
    <comment ref="A85" authorId="0">
      <text>
        <r>
          <rPr>
            <b/>
            <sz val="9"/>
            <color indexed="81"/>
            <rFont val="Tahoma"/>
            <family val="2"/>
          </rPr>
          <t>PLANIFICACION_PREVI:</t>
        </r>
        <r>
          <rPr>
            <sz val="9"/>
            <color indexed="81"/>
            <rFont val="Tahoma"/>
            <family val="2"/>
          </rPr>
          <t xml:space="preserve">
Ejecución 2018-2020
Q21,715.00</t>
        </r>
      </text>
    </comment>
    <comment ref="A94" authorId="0">
      <text>
        <r>
          <rPr>
            <b/>
            <sz val="9"/>
            <color indexed="81"/>
            <rFont val="Tahoma"/>
            <family val="2"/>
          </rPr>
          <t>PLANIFICACION_PREVI:</t>
        </r>
        <r>
          <rPr>
            <sz val="9"/>
            <color indexed="81"/>
            <rFont val="Tahoma"/>
            <family val="2"/>
          </rPr>
          <t xml:space="preserve">
Ejecución 2018-2020
Q21,715.00</t>
        </r>
      </text>
    </comment>
  </commentList>
</comments>
</file>

<file path=xl/comments7.xml><?xml version="1.0" encoding="utf-8"?>
<comments xmlns="http://schemas.openxmlformats.org/spreadsheetml/2006/main">
  <authors>
    <author>PLANIFICACION_PREVI</author>
  </authors>
  <commentList>
    <comment ref="A29" authorId="0">
      <text>
        <r>
          <rPr>
            <b/>
            <sz val="9"/>
            <color indexed="81"/>
            <rFont val="Tahoma"/>
            <family val="2"/>
          </rPr>
          <t>PLANIFICACION_PREVI:</t>
        </r>
        <r>
          <rPr>
            <sz val="9"/>
            <color indexed="81"/>
            <rFont val="Tahoma"/>
            <family val="2"/>
          </rPr>
          <t xml:space="preserve">
Como paquete Q2,264,465.69 y la actividad A9 Q0.00</t>
        </r>
      </text>
    </comment>
  </commentList>
</comments>
</file>

<file path=xl/comments8.xml><?xml version="1.0" encoding="utf-8"?>
<comments xmlns="http://schemas.openxmlformats.org/spreadsheetml/2006/main">
  <authors>
    <author>PLANIFICACION_PREVI</author>
  </authors>
  <commentList>
    <comment ref="A80" authorId="0">
      <text>
        <r>
          <rPr>
            <b/>
            <sz val="9"/>
            <color indexed="81"/>
            <rFont val="Tahoma"/>
            <family val="2"/>
          </rPr>
          <t>PLANIFICACION_PREVI:</t>
        </r>
        <r>
          <rPr>
            <sz val="9"/>
            <color indexed="81"/>
            <rFont val="Tahoma"/>
            <family val="2"/>
          </rPr>
          <t xml:space="preserve">
Como paquete Q2,264,465.69 y la actividad A9 Q0.00</t>
        </r>
      </text>
    </comment>
  </commentList>
</comments>
</file>

<file path=xl/comments9.xml><?xml version="1.0" encoding="utf-8"?>
<comments xmlns="http://schemas.openxmlformats.org/spreadsheetml/2006/main">
  <authors>
    <author>PLANIFICACION_PREVI</author>
  </authors>
  <commentList>
    <comment ref="A10" authorId="0">
      <text>
        <r>
          <rPr>
            <b/>
            <sz val="9"/>
            <color indexed="81"/>
            <rFont val="Tahoma"/>
            <family val="2"/>
          </rPr>
          <t>PLANIFICACION_PREVI:</t>
        </r>
        <r>
          <rPr>
            <sz val="9"/>
            <color indexed="81"/>
            <rFont val="Tahoma"/>
            <family val="2"/>
          </rPr>
          <t xml:space="preserve">
POA 2018-2020 
Q900,349.81</t>
        </r>
      </text>
    </comment>
    <comment ref="C15" authorId="0">
      <text>
        <r>
          <rPr>
            <b/>
            <sz val="9"/>
            <color indexed="81"/>
            <rFont val="Tahoma"/>
            <family val="2"/>
          </rPr>
          <t>PLANIFICACION_PREVI:</t>
        </r>
        <r>
          <rPr>
            <sz val="9"/>
            <color indexed="81"/>
            <rFont val="Tahoma"/>
            <family val="2"/>
          </rPr>
          <t xml:space="preserve">
Q 15,600.00</t>
        </r>
      </text>
    </comment>
  </commentList>
</comments>
</file>

<file path=xl/sharedStrings.xml><?xml version="1.0" encoding="utf-8"?>
<sst xmlns="http://schemas.openxmlformats.org/spreadsheetml/2006/main" count="2556" uniqueCount="854">
  <si>
    <t>5. GASTOS DE FUNCIONAMIENTO (F2)</t>
  </si>
  <si>
    <t>5.1 FUNCIONAMIENTO Y MANTENIMIENTO</t>
  </si>
  <si>
    <t>A1</t>
  </si>
  <si>
    <t>A2</t>
  </si>
  <si>
    <t>A3</t>
  </si>
  <si>
    <t>5.1.1.1 Alquileres</t>
  </si>
  <si>
    <t xml:space="preserve">5.1.1.2
Servicios básicos </t>
  </si>
  <si>
    <t>Agua</t>
  </si>
  <si>
    <t>A4</t>
  </si>
  <si>
    <t>A5</t>
  </si>
  <si>
    <t>A6</t>
  </si>
  <si>
    <t xml:space="preserve">Mantenimiento y reparación de equipo de oficinas e instalaciones </t>
  </si>
  <si>
    <t xml:space="preserve">Fletes, correspondencia y transporte de personas </t>
  </si>
  <si>
    <t>Publicaciones de convocatorias y eventos de adquisiciones</t>
  </si>
  <si>
    <t>5.1.1.4
Mantenimientos y reparaciones</t>
  </si>
  <si>
    <t>Seguros en general</t>
  </si>
  <si>
    <t>Mantenimiento y reparación de vehículos y otros relacionados</t>
  </si>
  <si>
    <t xml:space="preserve">Útiles de oficina y otros documentos </t>
  </si>
  <si>
    <t>Combustible y lubricantes</t>
  </si>
  <si>
    <t>5.1.1.5
Suministros e insumos</t>
  </si>
  <si>
    <t>Vigilancia</t>
  </si>
  <si>
    <t>5.1.1.3
Apoyo logístico y servicios varios</t>
  </si>
  <si>
    <t xml:space="preserve">Mobiliario </t>
  </si>
  <si>
    <t>Equipo de cómputo</t>
  </si>
  <si>
    <t>Electrodomésticos</t>
  </si>
  <si>
    <t>Equipo de comunicaciones y audiovisuales</t>
  </si>
  <si>
    <t>6.  MONITOREO, EVALUACIÓN Y AUDITORÍA  (F3)</t>
  </si>
  <si>
    <t>6.1 Monitoreo, Evaluación y Auditoría</t>
  </si>
  <si>
    <t>E6.1.1  Monitoreo, Evaluación y Auditoría</t>
  </si>
  <si>
    <t>Reuniones de coordinación, planificación, seguimiento y evaluación</t>
  </si>
  <si>
    <t>Consultoría para la elaboración de indicadores con la línea base del Programa Previ</t>
  </si>
  <si>
    <t xml:space="preserve">Servicios de auditoría externa </t>
  </si>
  <si>
    <t>6.1.1.1
Planificación, monitoreo y seguimiento del Programa</t>
  </si>
  <si>
    <t xml:space="preserve">PQ. 6.1.1.2. Auditoría Financiera y Evaluación </t>
  </si>
  <si>
    <t>Evaluación del Programa</t>
  </si>
  <si>
    <t>7. COMUNICACIÓN Y VISIBILIDAD (F4)</t>
  </si>
  <si>
    <t>7.1 COMUNICACIÓN Y VISIBILIDAD DEL PROGRAMA</t>
  </si>
  <si>
    <t>E7.1.1  COMUNICACIÓN Y VISIBILIDAD</t>
  </si>
  <si>
    <t xml:space="preserve">AP de comunicación y visibilidad  para el Programa </t>
  </si>
  <si>
    <t>Actividades, eventos, conmemoraciones de fechas insignes, días internacionales y otros para la comunicación y visibilidad del Programa</t>
  </si>
  <si>
    <t>Diseño, diagramación, edición, impresión, producción de material escrito, digital, audiovisual y otros para la comunicación y visibilidad del Programa</t>
  </si>
  <si>
    <t>TOTAL AÑO 2021</t>
  </si>
  <si>
    <t>TOTAL AÑO 2022</t>
  </si>
  <si>
    <t>TOTAL DE GASTO</t>
  </si>
  <si>
    <t>TOTAL DE INVERSIÓN</t>
  </si>
  <si>
    <t>INSTITUCIÓN BENEFICIARIA</t>
  </si>
  <si>
    <t>PROGRAMA DE PREVENCIÓN DE LA VIOLENCIA Y EL DELITO CONTRA MUJERES, NIÑEZ Y ADOLESCENCIA -PREVI-</t>
  </si>
  <si>
    <t>PLAN OPERATIVO MULTIANUAL 2021-2022</t>
  </si>
  <si>
    <t>RESULTADOS Y ENTREGABLES</t>
  </si>
  <si>
    <t>PAQUETE DE TRABAJO</t>
  </si>
  <si>
    <t>COD</t>
  </si>
  <si>
    <t>ACTIVIDADES ESTRATÉGICAS</t>
  </si>
  <si>
    <t>4.1 PERSONAL DEL PROGRAMA</t>
  </si>
  <si>
    <t>E 4.1.1 PERSONAL TÉCNICO Y PROFESIONAL</t>
  </si>
  <si>
    <t>Director(a) del Programa</t>
  </si>
  <si>
    <t>Coordinador(a) Administrativo Financiero</t>
  </si>
  <si>
    <t>Asistente dirección</t>
  </si>
  <si>
    <t>Asistente Contabilidad-Tesorería</t>
  </si>
  <si>
    <t>Asistente de presupuesto</t>
  </si>
  <si>
    <t>Asistente inventario</t>
  </si>
  <si>
    <t>Piloto - mensajero</t>
  </si>
  <si>
    <t>Auxiliar de mantenimiento Escuintla</t>
  </si>
  <si>
    <t>Piloto-mensajero Escuintla</t>
  </si>
  <si>
    <t>Auxiliar de mantenimiento para Suchitepéquez</t>
  </si>
  <si>
    <t>Piloto-mensajero Retalhuleu
Suchitepéquez</t>
  </si>
  <si>
    <t>Auxiliar de mantenimiento Sede Central</t>
  </si>
  <si>
    <t>Asistente de Almacén</t>
  </si>
  <si>
    <t>A7</t>
  </si>
  <si>
    <t>A8</t>
  </si>
  <si>
    <t>A9</t>
  </si>
  <si>
    <t>A10</t>
  </si>
  <si>
    <t>A11</t>
  </si>
  <si>
    <t>A12</t>
  </si>
  <si>
    <t>A13</t>
  </si>
  <si>
    <t>A14</t>
  </si>
  <si>
    <t xml:space="preserve">Asesor Jurídico </t>
  </si>
  <si>
    <t>PQ 4.1.1.1
Personal Directivo y de Coordinación</t>
  </si>
  <si>
    <t>4. GESTIÓN DEL PROGRAMA (F1)</t>
  </si>
  <si>
    <t>PQ 4.1.1.2
Servicios administrativos y financieros</t>
  </si>
  <si>
    <t>PQ 7.1.1.1 Comunicación y visibilidad del Programa</t>
  </si>
  <si>
    <t>Sede Guatemala</t>
  </si>
  <si>
    <t>Sede Escuintla</t>
  </si>
  <si>
    <t>Sede Suchitepéquez</t>
  </si>
  <si>
    <t>Telefonía e internet</t>
  </si>
  <si>
    <t>Gastos de movilidad del personal</t>
  </si>
  <si>
    <t>TOTAL GENERAL 
(2021-2022)</t>
  </si>
  <si>
    <t>Energía eléctrica</t>
  </si>
  <si>
    <t>Extracción de basura</t>
  </si>
  <si>
    <t>Útiles de limpieza y bioseguridad</t>
  </si>
  <si>
    <t>Reuniones para coordinación técnica, administrativa-financiera y fortalecimiento de capacidades del personal de la SEICMSJ  y Programa PREVI</t>
  </si>
  <si>
    <r>
      <rPr>
        <b/>
        <u/>
        <sz val="12"/>
        <color theme="0"/>
        <rFont val="Calibri"/>
        <family val="2"/>
        <scheme val="minor"/>
      </rPr>
      <t>Resultado 1:</t>
    </r>
    <r>
      <rPr>
        <b/>
        <sz val="12"/>
        <color theme="0"/>
        <rFont val="Calibri"/>
        <family val="2"/>
        <scheme val="minor"/>
      </rPr>
      <t xml:space="preserve"> Prevención de la violencia contra mujeres, niños, niñas y adolescentes</t>
    </r>
  </si>
  <si>
    <r>
      <rPr>
        <u/>
        <sz val="12"/>
        <rFont val="Calibri"/>
        <family val="2"/>
        <scheme val="minor"/>
      </rPr>
      <t xml:space="preserve">Entregable E.1.1.2 </t>
    </r>
    <r>
      <rPr>
        <sz val="12"/>
        <rFont val="Calibri"/>
        <family val="2"/>
        <scheme val="minor"/>
      </rPr>
      <t xml:space="preserve">  Creación de alianzas a nivel departamental, municipal y comunitario  para el fortalecimiento de las instancias de participación ciudadana e institucional.</t>
    </r>
  </si>
  <si>
    <t>PQ 1.1.2.1
Conformación y/o fortalecimiento de las Comisiones Municipales de Prevención -COMUPRES- en los municipios priorizados.</t>
  </si>
  <si>
    <r>
      <rPr>
        <u/>
        <sz val="12"/>
        <rFont val="Calibri"/>
        <family val="2"/>
        <scheme val="minor"/>
      </rPr>
      <t>Entregable E.1.3.1</t>
    </r>
    <r>
      <rPr>
        <sz val="12"/>
        <rFont val="Calibri"/>
        <family val="2"/>
        <scheme val="minor"/>
      </rPr>
      <t xml:space="preserve">  Fortalecimiento de las instituciones nacionales encargadas de la prevención de la violencia</t>
    </r>
  </si>
  <si>
    <t>PQ 1.3.1.1 
Fortalecimiento de la UPCV.</t>
  </si>
  <si>
    <t>PQ 1.3.1.2 
Fortalecimiento de la Subdirección General de Prevención del Delito de la PNC</t>
  </si>
  <si>
    <r>
      <rPr>
        <u/>
        <sz val="12"/>
        <rFont val="Calibri"/>
        <family val="2"/>
        <scheme val="minor"/>
      </rPr>
      <t>Entregable E.1.3.2</t>
    </r>
    <r>
      <rPr>
        <sz val="12"/>
        <rFont val="Calibri"/>
        <family val="2"/>
        <scheme val="minor"/>
      </rPr>
      <t xml:space="preserve">  Fortalecimiento de las instituciones locales vinculadas a la prevención de la violencia</t>
    </r>
  </si>
  <si>
    <t xml:space="preserve">PQ 2.2.1.2
Apoyo en la implementación del Modelo de Atención Integral para Mujeres Víctimas de Violencia I´X KEM –MAIMI-, en el área Metropolitana. </t>
  </si>
  <si>
    <r>
      <rPr>
        <b/>
        <u/>
        <sz val="12"/>
        <color theme="0"/>
        <rFont val="Calibri"/>
        <family val="2"/>
        <scheme val="minor"/>
      </rPr>
      <t>RESULTADO DE DESARROLLO 2:</t>
    </r>
    <r>
      <rPr>
        <b/>
        <sz val="12"/>
        <color theme="0"/>
        <rFont val="Calibri"/>
        <family val="2"/>
        <scheme val="minor"/>
      </rPr>
      <t xml:space="preserve"> Incrementada la eficacia de la asistencia a mujeres, niñas, niños y adolescentes víctimas de violencia en el área de intervención del programa.</t>
    </r>
  </si>
  <si>
    <t>PQ 2.2.1.4
Apoyo a la implementación del modelo de Asistencia y Atención Integral de la Víctima –MAIVI-, en los departamentos de incidencia del Programa</t>
  </si>
  <si>
    <t xml:space="preserve">PQ 2.2.2.2
Fortalecer la implementación del modelo de Atención Integral para la Niñez y Adolescencia –MAINA- </t>
  </si>
  <si>
    <r>
      <rPr>
        <b/>
        <u/>
        <sz val="12"/>
        <color theme="0"/>
        <rFont val="Calibri"/>
        <family val="2"/>
        <scheme val="minor"/>
      </rPr>
      <t>RESULTADO DE DESARROLLO 3:</t>
    </r>
    <r>
      <rPr>
        <b/>
        <sz val="12"/>
        <color theme="0"/>
        <rFont val="Calibri"/>
        <family val="2"/>
        <scheme val="minor"/>
      </rPr>
      <t xml:space="preserve"> Incrementada la eficacia de la respuesta del sistema de justicia a los delitos cometidos contra las mujeres, niñas, niños y adolescentes en el área de intervención del programa.</t>
    </r>
  </si>
  <si>
    <r>
      <rPr>
        <u/>
        <sz val="12"/>
        <color theme="1"/>
        <rFont val="Calibri"/>
        <family val="2"/>
        <scheme val="minor"/>
      </rPr>
      <t>Resultado intermedio 3.1.</t>
    </r>
    <r>
      <rPr>
        <sz val="12"/>
        <color theme="1"/>
        <rFont val="Calibri"/>
        <family val="2"/>
        <scheme val="minor"/>
      </rPr>
      <t xml:space="preserve"> Promoción de la denuncia y reacción inmediata en delitos contra las mujeres, niñas, niños y adolescentes</t>
    </r>
  </si>
  <si>
    <r>
      <rPr>
        <u/>
        <sz val="12"/>
        <rFont val="Calibri"/>
        <family val="2"/>
        <scheme val="minor"/>
      </rPr>
      <t>Entregable E.3.1.1</t>
    </r>
    <r>
      <rPr>
        <sz val="12"/>
        <rFont val="Calibri"/>
        <family val="2"/>
        <scheme val="minor"/>
      </rPr>
      <t xml:space="preserve"> Apoyo a los procesos de reacción urgente en delitos de desaparición de mujeres, niñas, niños y adolescentes</t>
    </r>
  </si>
  <si>
    <t>PQ 3.1.1.1
Fortalecimiento del sistema de localización de mujeres desaparecidas en la zona de intervención. (Isabel Claudina y Alba Keneth)</t>
  </si>
  <si>
    <t>PQ 3.2.1.1
Revisión y readecuación del proceso de investigación criminal de delitos contra la mujer en las áreas de cobertura del Programa. (MP, PNC-DEIC.</t>
  </si>
  <si>
    <r>
      <rPr>
        <u/>
        <sz val="12"/>
        <color theme="1"/>
        <rFont val="Calibri"/>
        <family val="2"/>
        <scheme val="minor"/>
      </rPr>
      <t>Resultado intermedio 3.3.</t>
    </r>
    <r>
      <rPr>
        <sz val="12"/>
        <color theme="1"/>
        <rFont val="Calibri"/>
        <family val="2"/>
        <scheme val="minor"/>
      </rPr>
      <t xml:space="preserve"> Mejora de la respuesta del sistema de justicia ante delitos contra la mujer, la niñez y la adolescencia</t>
    </r>
  </si>
  <si>
    <r>
      <rPr>
        <u/>
        <sz val="12"/>
        <rFont val="Calibri"/>
        <family val="2"/>
        <scheme val="minor"/>
      </rPr>
      <t xml:space="preserve">Entregable E.3.3.1. </t>
    </r>
    <r>
      <rPr>
        <sz val="12"/>
        <rFont val="Calibri"/>
        <family val="2"/>
        <scheme val="minor"/>
      </rPr>
      <t xml:space="preserve">Fortalecimiento de los procesos judiciales de mujeres, niñez y adolescencia víctimas de violencia contra las mujeres, delitos sexuales, explotación y trata. </t>
    </r>
  </si>
  <si>
    <t xml:space="preserve">PQ 3.3.1.3
Fortalecimiento a la implementación de Juzgados y tribunales especializados de femicidio y otras formas de violencia contra las mujeres y violencia sexual. </t>
  </si>
  <si>
    <r>
      <rPr>
        <u/>
        <sz val="12"/>
        <rFont val="Calibri"/>
        <family val="2"/>
        <scheme val="minor"/>
      </rPr>
      <t xml:space="preserve">Entregable E.1.1.3 </t>
    </r>
    <r>
      <rPr>
        <sz val="12"/>
        <rFont val="Calibri"/>
        <family val="2"/>
        <scheme val="minor"/>
      </rPr>
      <t xml:space="preserve">  Diseño de políticas y planes comunitarios participativos</t>
    </r>
  </si>
  <si>
    <t>PQ 1.1.3.1
Acompañamiento técnico en la formulación  y/o actualización de políticas municipales y departamentales de prevención de la violencia contra las mujeres, niñas, niños y adolescentes.</t>
  </si>
  <si>
    <r>
      <rPr>
        <u/>
        <sz val="12"/>
        <rFont val="Calibri"/>
        <family val="2"/>
        <scheme val="minor"/>
      </rPr>
      <t>Entregable E.1.2.1</t>
    </r>
    <r>
      <rPr>
        <sz val="12"/>
        <rFont val="Calibri"/>
        <family val="2"/>
        <scheme val="minor"/>
      </rPr>
      <t xml:space="preserve">  Implementación de medidas de prevención que contribuyan a disminuir la violencia contra las mujeres. </t>
    </r>
  </si>
  <si>
    <t xml:space="preserve">PQ 1.3.2.1 
Fortalecimiento de las Direcciones Municipales de la Mujer </t>
  </si>
  <si>
    <t>PQ 1.3.2.2 
Fortalecimiento de las Oficinas de Niñez, adolescencia y juventud en las municipalidades y otras entidades a nivel local.</t>
  </si>
  <si>
    <t>Acompañamiento técnico para la conformación de las COMUPRES</t>
  </si>
  <si>
    <t>INSUMOS</t>
  </si>
  <si>
    <t>Escuintla: Asistencia profesional</t>
  </si>
  <si>
    <t>Escuintla: Asistencia técnica</t>
  </si>
  <si>
    <t>Retalhuleu: Asistencia técnica</t>
  </si>
  <si>
    <t xml:space="preserve">Tres sedes: Reuniones y/o talleres </t>
  </si>
  <si>
    <t>Tres sedes: Impresión de documentos</t>
  </si>
  <si>
    <t>TOTAL 
AÑOS 1 Y 2</t>
  </si>
  <si>
    <t>SUBACTIVIDADES</t>
  </si>
  <si>
    <t xml:space="preserve">4. GESTIÓN DEL PROGRAMA </t>
  </si>
  <si>
    <t>4.1 PERSONAL Y EQUIPAMIENTO</t>
  </si>
  <si>
    <t>E 4.1.1 PERSONAL DEL PROGRAMA</t>
  </si>
  <si>
    <t xml:space="preserve">PQ 4.1.1.1 PERSONAL TÉCNICO </t>
  </si>
  <si>
    <t>Director(a) Nacional</t>
  </si>
  <si>
    <t>01</t>
  </si>
  <si>
    <t>Personal por contrato</t>
  </si>
  <si>
    <t>SEICMSJ - PREVI</t>
  </si>
  <si>
    <t>02</t>
  </si>
  <si>
    <t>Complemento por calidad profesional a personal temporal</t>
  </si>
  <si>
    <t>03</t>
  </si>
  <si>
    <t>Complementos específicos al personal temporal</t>
  </si>
  <si>
    <t>04</t>
  </si>
  <si>
    <t>Aporte patronal al IGSS</t>
  </si>
  <si>
    <t>05</t>
  </si>
  <si>
    <t>Aguinaldo</t>
  </si>
  <si>
    <t>06</t>
  </si>
  <si>
    <t>Bonificación anual (Bono 14)</t>
  </si>
  <si>
    <t>07</t>
  </si>
  <si>
    <t>Bono vacacional</t>
  </si>
  <si>
    <t>08</t>
  </si>
  <si>
    <t>09</t>
  </si>
  <si>
    <t>Vacaciones pagadas por retiro</t>
  </si>
  <si>
    <t>AP Asesoría Jurídica</t>
  </si>
  <si>
    <t>PQ 4.1.1.2 Personal administrativo</t>
  </si>
  <si>
    <t>10</t>
  </si>
  <si>
    <t>11</t>
  </si>
  <si>
    <t>12</t>
  </si>
  <si>
    <t>13</t>
  </si>
  <si>
    <t>14</t>
  </si>
  <si>
    <t>E 5.1.1 GASTOS DE OPERACIÓN</t>
  </si>
  <si>
    <t>Sede Retalhuleu / Suchitepéquez</t>
  </si>
  <si>
    <t>Telefonía e internet Escuintla</t>
  </si>
  <si>
    <t>Telefonía e internet Retalhuleu/Suchitepéquez</t>
  </si>
  <si>
    <t>Electricidad Escuintla</t>
  </si>
  <si>
    <t>Electricidad Retalhuleu/Suchitepéquez</t>
  </si>
  <si>
    <t>Servicio de extracción de basura Escuintla</t>
  </si>
  <si>
    <t>Servicio de extracción de basura Retalhuleu/Suchitepéquez</t>
  </si>
  <si>
    <t>Servicio de agua Escuintla</t>
  </si>
  <si>
    <t>Servicio de agua Retalhuleu/Suchitepéquez</t>
  </si>
  <si>
    <t>Servicio de vigilancia Escuintla</t>
  </si>
  <si>
    <t>Servicio de vigilancia Retalhuleu/
Suchitepéquez</t>
  </si>
  <si>
    <t>Electricidad Guatemala</t>
  </si>
  <si>
    <t>Servicio de extracción de basura</t>
  </si>
  <si>
    <t>Servicio de agua Guatemala</t>
  </si>
  <si>
    <t>Servicio de Vigilancia Guatemala</t>
  </si>
  <si>
    <t>Telefonía e internet Guatemala</t>
  </si>
  <si>
    <t xml:space="preserve">Útiles de oficina, documentos y otros </t>
  </si>
  <si>
    <t>Insumos, suministros, herramientas y utensilios de cocina y cafetería para las Sedes del Programa</t>
  </si>
  <si>
    <t>Reuniones, talleres, cursos, seminarios, pasantías y otros (internas)</t>
  </si>
  <si>
    <t>PQ. 6.1.1.1. Monitoreo y Evaluación</t>
  </si>
  <si>
    <t>PQ. 6.1.1.2. Auditoría Externa</t>
  </si>
  <si>
    <t>PQ 7.1.1.1 Comunicación y visibilidad</t>
  </si>
  <si>
    <t xml:space="preserve">TOTALES  </t>
  </si>
  <si>
    <t>Escuintla: Asistencia Profesional</t>
  </si>
  <si>
    <t>PQ 1.2.1.2
Modelo estratégico de prevención de la violencia contra las mujeres, niñez y adolescencia del Programa PREVI en los Departamentos de incidencia del Programa.</t>
  </si>
  <si>
    <t>Asistencias técnicas, consultorías y otras acciones innovadoras vinculadas al rubro de gasto, para los departamentos de incidencia</t>
  </si>
  <si>
    <t>Mobiliario, equipo y otras acciones vinculadas al rubro de inversión para los departamentos de incidencia</t>
  </si>
  <si>
    <t>Mejoramiento de la capacidad de respuesta del área tecnológica de las sedes de la UPCV</t>
  </si>
  <si>
    <t>Reuniones y/o talleres de trabajo del personal de la UPCV e integrantes de COCODES, COMUPRES Y CODEPRES</t>
  </si>
  <si>
    <t>Suchitepéquez: Asistencia Profesional</t>
  </si>
  <si>
    <t>Diseño, validación, acompañamiento técnico a la implementación y seguimiento del modelo</t>
  </si>
  <si>
    <t>SEICMSJ-PREVI</t>
  </si>
  <si>
    <r>
      <rPr>
        <b/>
        <u/>
        <sz val="12"/>
        <color theme="1"/>
        <rFont val="Calibri"/>
        <family val="2"/>
        <scheme val="minor"/>
      </rPr>
      <t>Resultado intermedio 1.2.</t>
    </r>
    <r>
      <rPr>
        <b/>
        <sz val="12"/>
        <color theme="1"/>
        <rFont val="Calibri"/>
        <family val="2"/>
        <scheme val="minor"/>
      </rPr>
      <t xml:space="preserve">  Diseño e implementación de medidas de prevención de la violencia dirigidas a mujeres, niñas, niños y adolescentes</t>
    </r>
  </si>
  <si>
    <r>
      <rPr>
        <b/>
        <u/>
        <sz val="12"/>
        <color theme="1"/>
        <rFont val="Calibri"/>
        <family val="2"/>
        <scheme val="minor"/>
      </rPr>
      <t>Resultado intermedio 1.1.</t>
    </r>
    <r>
      <rPr>
        <b/>
        <sz val="12"/>
        <color theme="1"/>
        <rFont val="Calibri"/>
        <family val="2"/>
        <scheme val="minor"/>
      </rPr>
      <t xml:space="preserve">  Fortalecidos los sistemas y estrategias de prevención de la violencia contra las mujeres, niñas, niños y adolescentes en el área de intervención del Programa</t>
    </r>
  </si>
  <si>
    <t>Elaboración de documentos y/o estudios que proporcionen insumos técnicos estratégicos para el abordaje oportuno de la prevención de la VcM, NNA</t>
  </si>
  <si>
    <t xml:space="preserve">Activación de un Observatorio  para  realizar diagnósticos de intervención del Estado en prevención. </t>
  </si>
  <si>
    <t>Adquisición e implementación de una base de datos de prevención en la UPCV.</t>
  </si>
  <si>
    <t xml:space="preserve"> Funcionamiento de programas psicosociales de prevención. </t>
  </si>
  <si>
    <t xml:space="preserve">Implementación de programas de resiliencia a víctimas de violencia. </t>
  </si>
  <si>
    <t>Consultorías para: Fortalecimiento de la percepción de seguridad ciudadana.</t>
  </si>
  <si>
    <t>10 motocicletas marca Suzuki, modelo 2021, Adquisición de un pickup simple</t>
  </si>
  <si>
    <t>Fortalecimiento de las capacidades institucionales de las Comisarías de la SGPD del área de incidencia para realizar acciones estratégicas para la reducción de  la incidencia y prevalencia de la VcM,NNA.</t>
  </si>
  <si>
    <t>Impresión de protocolos de actuación policial para la atención de los grupos vulnerables focalizados, afiches, banner, entre otros.</t>
  </si>
  <si>
    <t>Consultoría para el diseño gráfico para la elaboración de artes gráficos afines al programa</t>
  </si>
  <si>
    <t>Eventos para la conmemoración del Día internacional de la mujer y la NO Violencia contra ellas y las niñas.</t>
  </si>
  <si>
    <t xml:space="preserve">Talleres de capacitación para fortalecer las competencias del personal en torno al modelo estratégico de prevención </t>
  </si>
  <si>
    <t>Mobiliario y equipo de oficina (ver detalle matriz MINGOB)</t>
  </si>
  <si>
    <t>Motocicletas para las sedes (ver especificaciones técnicas en matriz MINGOB)</t>
  </si>
  <si>
    <t>Consultoría para la malla curricular</t>
  </si>
  <si>
    <t>Consultoría para el desarrollo del módulo virtual</t>
  </si>
  <si>
    <t>Equipo de cómputo y licencias</t>
  </si>
  <si>
    <t>Impresión de documentos técnicos para los procesos de capacitación</t>
  </si>
  <si>
    <t>Difusión a través de medios, redes sociales, mupis, vallas publicitarias, actividades lúdicas, promocionales,  Traducción a idiomas mayas en general, diseño e impresión de materiales, eventos públicos y otros relacionados.</t>
  </si>
  <si>
    <t>Acompañamiento técnico para la formulación de políticas municipales de prevención de la VcM,NNA</t>
  </si>
  <si>
    <r>
      <rPr>
        <b/>
        <u/>
        <sz val="12"/>
        <rFont val="Calibri"/>
        <family val="2"/>
        <scheme val="minor"/>
      </rPr>
      <t xml:space="preserve">Entregable E.1.1.2 </t>
    </r>
    <r>
      <rPr>
        <b/>
        <sz val="12"/>
        <rFont val="Calibri"/>
        <family val="2"/>
        <scheme val="minor"/>
      </rPr>
      <t xml:space="preserve">  Creación de alianzas a nivel departamental, municipal y comunitario  para el fortalecimiento de las instancias de participación ciudadana e institucional.</t>
    </r>
  </si>
  <si>
    <r>
      <rPr>
        <b/>
        <u/>
        <sz val="12"/>
        <rFont val="Calibri"/>
        <family val="2"/>
        <scheme val="minor"/>
      </rPr>
      <t xml:space="preserve">Entregable E.1.1.3 </t>
    </r>
    <r>
      <rPr>
        <b/>
        <sz val="12"/>
        <rFont val="Calibri"/>
        <family val="2"/>
        <scheme val="minor"/>
      </rPr>
      <t xml:space="preserve">  Diseño de políticas y planes comunitarios participativos</t>
    </r>
  </si>
  <si>
    <r>
      <rPr>
        <b/>
        <u/>
        <sz val="12"/>
        <rFont val="Calibri"/>
        <family val="2"/>
        <scheme val="minor"/>
      </rPr>
      <t>Entregable E.1.2.1</t>
    </r>
    <r>
      <rPr>
        <b/>
        <sz val="12"/>
        <rFont val="Calibri"/>
        <family val="2"/>
        <scheme val="minor"/>
      </rPr>
      <t xml:space="preserve">  Implementación de medidas de prevención que contribuyan a disminuir la violencia contra las mujeres. </t>
    </r>
  </si>
  <si>
    <r>
      <rPr>
        <b/>
        <u/>
        <sz val="12"/>
        <rFont val="Calibri"/>
        <family val="2"/>
        <scheme val="minor"/>
      </rPr>
      <t>Entregable E.1.3.1</t>
    </r>
    <r>
      <rPr>
        <b/>
        <sz val="12"/>
        <rFont val="Calibri"/>
        <family val="2"/>
        <scheme val="minor"/>
      </rPr>
      <t xml:space="preserve">  Fortalecimiento de las instituciones nacionales encargadas de la prevención de la violencia</t>
    </r>
  </si>
  <si>
    <r>
      <rPr>
        <b/>
        <u/>
        <sz val="12"/>
        <rFont val="Calibri"/>
        <family val="2"/>
        <scheme val="minor"/>
      </rPr>
      <t>Entregable E.1.3.2</t>
    </r>
    <r>
      <rPr>
        <b/>
        <sz val="12"/>
        <rFont val="Calibri"/>
        <family val="2"/>
        <scheme val="minor"/>
      </rPr>
      <t xml:space="preserve">  Fortalecimiento de las instituciones locales vinculadas a la prevención de la violencia</t>
    </r>
  </si>
  <si>
    <r>
      <rPr>
        <b/>
        <u/>
        <sz val="11"/>
        <color theme="0"/>
        <rFont val="Calibri"/>
        <family val="2"/>
        <scheme val="minor"/>
      </rPr>
      <t>Resultado 1:</t>
    </r>
    <r>
      <rPr>
        <b/>
        <sz val="11"/>
        <color theme="0"/>
        <rFont val="Calibri"/>
        <family val="2"/>
        <scheme val="minor"/>
      </rPr>
      <t xml:space="preserve"> Prevención de la violencia contra mujeres, niños, niñas y adolescentes</t>
    </r>
  </si>
  <si>
    <t>Fortalecimiento de capacidades técnicas del personal de UPCV para mejorar sus intervenciones en la prevención de la VcM, NNA.</t>
  </si>
  <si>
    <t>Escuintla: Responsable de Gestión</t>
  </si>
  <si>
    <t>INSTITUCIÓN DE LA ICMSJ</t>
  </si>
  <si>
    <t>MINGOB-SEICMSJ-PREVI</t>
  </si>
  <si>
    <t>MINGOB-PNC</t>
  </si>
  <si>
    <t>MINGOB-UPCV-</t>
  </si>
  <si>
    <t>SEICMSJ-ICMSJ</t>
  </si>
  <si>
    <t>PQ 1.3.1.3
Fortalecimiento de capacidades técnicas del personal de las instituciones que desarrollan funciones de prevención en el área de incidencia</t>
  </si>
  <si>
    <t>Campañas de socialización, sensibilización y comunicación para prevenir la VcM,NNA.</t>
  </si>
  <si>
    <t>Diseño, implementación y seguimiento del SIMS</t>
  </si>
  <si>
    <t>Dotación de mobiliario, equipo tecnológico para juzgados de Paz</t>
  </si>
  <si>
    <t>Impresión de documentos técnicos y legales</t>
  </si>
  <si>
    <t>Dotación de vehículos para juzgados de Paz</t>
  </si>
  <si>
    <t>Reuniones y/o talleres de trabajo para la coordinación interinstitucional,  implementación y seguimiento del SIMS</t>
  </si>
  <si>
    <t>Impresión de documentos (manuales, guías, protocolos, sistematización, análisis, afiches, bifoliares, trifoliares y otros)</t>
  </si>
  <si>
    <t xml:space="preserve">Combos tecnológicos para litigio (laptop, impresoras, scanner, proyector, grabadoras, portátiles) </t>
  </si>
  <si>
    <t xml:space="preserve">Fiscalías distritales, municipales y agencias de los departamentos de incidencia, equipadas para mejorar la calidad de atención a las víctimas de VcM </t>
  </si>
  <si>
    <t>Consultoría para la automatización e interconectividad del sistema integral de medidas de seguridad SIMS y su implementación.</t>
  </si>
  <si>
    <t>OJ</t>
  </si>
  <si>
    <t>MP</t>
  </si>
  <si>
    <t>Consultoría para la elaboración de propuestas de abordaje de la mora fiscal en las Agencias de la Mujer de las fiscalías de Suchitepéquez, Retalhuleu y Escuintla; de delitos contra la mujer y NNA. (MAI)</t>
  </si>
  <si>
    <t>Readecuaciones de las instalaciones del MAI de los departamentos de incidencia.</t>
  </si>
  <si>
    <t xml:space="preserve">Vehículos para traslado de víctimas y para realizar diligencias de investigación y ubicación de personas testigas.  </t>
  </si>
  <si>
    <t>Mobiliario, equipo de cómputo y accesorios</t>
  </si>
  <si>
    <t>Seis Consultorías para el desarrollo de protocolos de medidas de seguridad y de litigio estratégico diferenciado</t>
  </si>
  <si>
    <t>MINGOB</t>
  </si>
  <si>
    <t>IAV</t>
  </si>
  <si>
    <t>Dotación de mobiliario y equipo (cámaras gesell y áreas lúdicas)</t>
  </si>
  <si>
    <t>Consultorías para apoyar la implementación del SGT NNA en órganos jurisdiccionales, Garantizar el registro adecuado de los casos que ingresan al OJ y Promover un abordaje único y especializado de todas las instituciones que intervienen en casos de niñez y adolescencia.</t>
  </si>
  <si>
    <t>Agencias fiscales de la mujer del área de incidencia equipadas para mejorar la atención a la niñez y adolescencia víctimas de violencia.</t>
  </si>
  <si>
    <t>Diseño, implementación y seguimiento del SIMP</t>
  </si>
  <si>
    <t>Fortalecidas las capacidades técnicas del personal del Instituto de la Víctima para brindar atención oportuna e inmediata a las NNA, víctimas de violencia</t>
  </si>
  <si>
    <t>Consultoría para la evaluación de riesgos de las víctimas, fortalecimiento emocional de la víctima, previo a comparecer a juicio u otras diligencias del proceso penal y otros</t>
  </si>
  <si>
    <t>Impresión de protocolos y guías</t>
  </si>
  <si>
    <r>
      <rPr>
        <b/>
        <u/>
        <sz val="12"/>
        <color theme="1"/>
        <rFont val="Calibri"/>
        <family val="2"/>
        <scheme val="minor"/>
      </rPr>
      <t>Resultado intermedio 2.2.</t>
    </r>
    <r>
      <rPr>
        <b/>
        <sz val="12"/>
        <color theme="1"/>
        <rFont val="Calibri"/>
        <family val="2"/>
        <scheme val="minor"/>
      </rPr>
      <t xml:space="preserve">  Mejora del sistema de atención inmediata a mujer, niñez y adolescencia víctima de violencia por parte de las instituciones del sector Justicia y Seguridad.</t>
    </r>
  </si>
  <si>
    <r>
      <rPr>
        <b/>
        <u/>
        <sz val="12"/>
        <rFont val="Calibri"/>
        <family val="2"/>
        <scheme val="minor"/>
      </rPr>
      <t>Entregable E.2.2.1</t>
    </r>
    <r>
      <rPr>
        <b/>
        <sz val="12"/>
        <rFont val="Calibri"/>
        <family val="2"/>
        <scheme val="minor"/>
      </rPr>
      <t xml:space="preserve"> Implementación de un modelo de atención inmediata a mujeres, niños/as y adolescencia víctimas de violencia contra la mujer, delitos sexuales y trata </t>
    </r>
  </si>
  <si>
    <r>
      <rPr>
        <b/>
        <u/>
        <sz val="12"/>
        <rFont val="Calibri"/>
        <family val="2"/>
        <scheme val="minor"/>
      </rPr>
      <t>Entregable E.2.2.2</t>
    </r>
    <r>
      <rPr>
        <b/>
        <sz val="12"/>
        <rFont val="Calibri"/>
        <family val="2"/>
        <scheme val="minor"/>
      </rPr>
      <t xml:space="preserve"> Implementación de un modelo de atención inmediata por parte de las instituciones de justicia y seguridad con enfoque de género, multicultural y de DDHH a niñas, niños y adolescentes víctimas</t>
    </r>
  </si>
  <si>
    <r>
      <rPr>
        <b/>
        <u/>
        <sz val="12"/>
        <rFont val="Calibri"/>
        <family val="2"/>
        <scheme val="minor"/>
      </rPr>
      <t>Entregable E.2.1.2</t>
    </r>
    <r>
      <rPr>
        <b/>
        <sz val="12"/>
        <rFont val="Calibri"/>
        <family val="2"/>
        <scheme val="minor"/>
      </rPr>
      <t xml:space="preserve">  Implementación de un sistema de medidas de protección integral a niños, niñas y adolescentes víctimas de violencia</t>
    </r>
  </si>
  <si>
    <r>
      <rPr>
        <b/>
        <u/>
        <sz val="12"/>
        <rFont val="Calibri"/>
        <family val="2"/>
        <scheme val="minor"/>
      </rPr>
      <t>Entregable E.2.1.1</t>
    </r>
    <r>
      <rPr>
        <b/>
        <sz val="12"/>
        <rFont val="Calibri"/>
        <family val="2"/>
        <scheme val="minor"/>
      </rPr>
      <t xml:space="preserve"> Implementación de un sistema interinstitucional para la aplicación de Medidas de Seguridad a mujeres víctimas de Violencia</t>
    </r>
  </si>
  <si>
    <r>
      <rPr>
        <b/>
        <u/>
        <sz val="12"/>
        <rFont val="Calibri"/>
        <family val="2"/>
        <scheme val="minor"/>
      </rPr>
      <t>Resultado intermedio 2.1.</t>
    </r>
    <r>
      <rPr>
        <b/>
        <sz val="12"/>
        <rFont val="Calibri"/>
        <family val="2"/>
        <scheme val="minor"/>
      </rPr>
      <t xml:space="preserve">  Modelos interinstitucionales implementados para garantizar medidas de protección jurídica e integral a mujeres, niñez y adolescencia víctima de violencia </t>
    </r>
  </si>
  <si>
    <t>Readecuaciones y/o reparaciones de la sede</t>
  </si>
  <si>
    <t>Ambulancia para el traslado de las víctimas</t>
  </si>
  <si>
    <t>Mobiliario, equipo, enseres y accesorios para el funcionamiento del Modelo</t>
  </si>
  <si>
    <t>Equipo de cómputo, equipo de multimedia, cámaras, DVD+R y otros</t>
  </si>
  <si>
    <t>Microbuses sede Quetzaltenango y Guatemala (2), Un vehículo sedan y un pick-up</t>
  </si>
  <si>
    <t>Mejoras y reparaciones de la sede MAIVI en el  MAINA</t>
  </si>
  <si>
    <t xml:space="preserve">Consultor para elaboración de Protocolo de actuación técnico-legal del Defensor Público en MAINA en las áreas de incidencia en Escuintla,  Suchitepéquez y Retalhuleu. </t>
  </si>
  <si>
    <t xml:space="preserve">Consultor para capacitación sobre el Protocolo de actuación técnico-legal del Defensor Público en MAINA.  Regiones departamentales de Escuintla, Suchitepéquez y Retalhuleu. </t>
  </si>
  <si>
    <t xml:space="preserve"> Consultor para elaborar Módulo instruccional de modalidades del anticipo de prueba y sus incidencias en MAINA.  </t>
  </si>
  <si>
    <t>Apoyar la implementación de las sedes del IDPP en el MAINA. para garantizar la reducción de la mora judicial en casos de violencia contra la niñez y adolescencia víctima.</t>
  </si>
  <si>
    <t xml:space="preserve">Apoyar la implementación de las sedes del MP en el MAINA para garantizar el funcionamiento y la prestación de servicios a la niñez y adolescencia víctima de violencia </t>
  </si>
  <si>
    <t>Apoyar la implementación de las sedes del IAV en el MAINA para garantizar el funcionamiento y la prestación de servicios a la niñez y adolescencia víctima de violencia</t>
  </si>
  <si>
    <t>IDPP</t>
  </si>
  <si>
    <t xml:space="preserve">Dotación de mobiliario, equipo y enseres a las sedes de las instituciones del sistema de seguridad y justicia para garantizar su funcionamiento y la atención oportuna a las víctimas de VcM.  </t>
  </si>
  <si>
    <t>Readecuaciones a la infraestructura física del MAIMI para garantizar espacios dignos y apropiados para la atención de las víctimas de VcM</t>
  </si>
  <si>
    <t>Enseres / accesorios</t>
  </si>
  <si>
    <t xml:space="preserve">Consultorías   </t>
  </si>
  <si>
    <t>Fortalecimiento de los procesos y capacidades técnicas del personal del MAIMI, para incrementar, retroalimentar y proporcionar conocimientos especializados para el abordaje de la VcM</t>
  </si>
  <si>
    <t>PQ  2.2.1.1 
Fortalecimiento de las instituciones del sector justicia y seguridad para brindar atención especializada a MVV.</t>
  </si>
  <si>
    <t xml:space="preserve">Instituciones fortalecidas en su capacidad de promoción de los mecanismos de atención que ofrece el sistema de justicia para atenderlas en contextos de violencia </t>
  </si>
  <si>
    <t>Actividades y eventos</t>
  </si>
  <si>
    <t>Escuintla: Asistencias profesional</t>
  </si>
  <si>
    <t>Escuintla: Asistencias técnica (implementación)</t>
  </si>
  <si>
    <t>Suchitepéquez: Asistencia profesional (implementación)</t>
  </si>
  <si>
    <t>Escuintla: Asistencia profesional (implementación)</t>
  </si>
  <si>
    <t>Suchitepéquez: Asistencias técnica (implementación)</t>
  </si>
  <si>
    <t>Retalhuleu: Asistencias técnica (implementación)</t>
  </si>
  <si>
    <t>Suchitepéquez: Asistencia técnica (implementación)</t>
  </si>
  <si>
    <t>materiales de construcción</t>
  </si>
  <si>
    <t>Suchitepéquez: Responsable de Gestión</t>
  </si>
  <si>
    <t>PQ 3.3.1.4
Fortalecimiento al Instituto de la Defensa Pública Penal en la gestión penal por audiencias para reducir la mora judicial en casos de VcM,NNA.</t>
  </si>
  <si>
    <t xml:space="preserve">Acompañamiento técnico a la conformación, implementación y funcionamiento de los Equipos Locales de Búsqueda -ELB- </t>
  </si>
  <si>
    <t>Impresión de guías, manuales, protocolos y otros instrumentos técnicos y legales</t>
  </si>
  <si>
    <t>Talleres y reuniones informativas, formativas, de seguimiento y coordinación técnica</t>
  </si>
  <si>
    <t>Servicios de consultoría para diseño de módulos interactivos</t>
  </si>
  <si>
    <t>Monitoreo y seguimiento al cumplimiento de las disposiciones y lineamientos institucionales de los mecanismos de búsqueda.</t>
  </si>
  <si>
    <t>Consultoría profesional para el monitoreo y cumplimiento de las disposiciones y lineamientos institucionales de los mecanismos de búsqueda.</t>
  </si>
  <si>
    <t>Impresión de ejemplares de compilación de disposiciones institucionales, nacionales e internacionales relacionados con los mecanismos de búsqueda.</t>
  </si>
  <si>
    <t>Equipo de cómputo (Actualización de software y hardware en las fiscalías de la mujer del área de incidencia).</t>
  </si>
  <si>
    <r>
      <rPr>
        <b/>
        <u/>
        <sz val="12"/>
        <rFont val="Calibri"/>
        <family val="2"/>
        <scheme val="minor"/>
      </rPr>
      <t>Entregable E.3.2.1</t>
    </r>
    <r>
      <rPr>
        <b/>
        <sz val="12"/>
        <rFont val="Calibri"/>
        <family val="2"/>
        <scheme val="minor"/>
      </rPr>
      <t xml:space="preserve"> Fortalecimiento de las unidades responsables de la investigación con perspectiva de género, multicultural y etaria</t>
    </r>
  </si>
  <si>
    <t xml:space="preserve">Dotar de herramientas para el desplazamiento del equipo de investigadores para la búsqueda y localización de mujeres, niños, niñas y adolescentes desaparecidos. </t>
  </si>
  <si>
    <t>Dotación de mobiliario  y equipo para el área de investigación MP-DEIC: computadoras, impresoras, sillas y escritorios.</t>
  </si>
  <si>
    <t>Fortalecer las capacidades y competencias técnicas especializadas del personal que lleva a cabo procesos investigación de delitos  vinculados a la violencia contra las mujeres, niñez y adolescencia</t>
  </si>
  <si>
    <t>Impresión de documentos para los procesos de formación</t>
  </si>
  <si>
    <t>Consultoría para análisis de actores claves para la coordinación interinstitucional y de apoyo de la cooperación internacional.</t>
  </si>
  <si>
    <t>Consultorías para investigar causas de Pandillas Juveniles, suicidios y VcM). Asistencias técnicas  para socialización de marcos legales y seguimiento a la mesa de trabajo en los departamentos de intervención</t>
  </si>
  <si>
    <t xml:space="preserve">Talleres y reuniones de coordinación para la Mesa departamental </t>
  </si>
  <si>
    <t>Diseño, producción de campañas, materiales impresos y otros.</t>
  </si>
  <si>
    <t>Talleres y reuniones para la facilitación para el fortalecimiento de capacidades técnicas</t>
  </si>
  <si>
    <t>MINGOB-DEIC</t>
  </si>
  <si>
    <t>Actualización de software y hardware en las fiscalías de la mujer del área de incidencia y  Equipo de cómputo para la fiscalía de Femicidio</t>
  </si>
  <si>
    <t>Consultoría para diseño de plataforma tecnológica interinstitucional MINGOB-MP para integración de información de alertas de búsqueda, localizaciones, 110, 1572, denuncias PNC, denuncias MP e interconexión de casos de búsqueda de mujeres desaparecidas, violencia, delitos sexuales, femicidios y trata de personas, así como, información de medidas de seguridad, (2021) y Consultoría para diseño e implementación de herramientas de medición del desarrollo de la investigación (2022)</t>
  </si>
  <si>
    <t>Apoyar el proceso de automatización, digitalización e interconexión de sistemas de información relacionada con la investigación de delitos contra las MVV, NNA.</t>
  </si>
  <si>
    <t>Consultoría para capacitar a personal que integrará órganos jurisdiccionales de justicia especializada a aperturar.(Contratación de dos profesionales (Abogado/a y Psicólogo/a)</t>
  </si>
  <si>
    <t xml:space="preserve">Fortalecimiento de capacidades técnicas jurídicas de Defensores Públicos y procuradores jurídicos para ampliar la capacidad de respuesta  y la calidad del servicio con enfoque victimológico y  derechos humanos de mujeres, niñez y adolescencia </t>
  </si>
  <si>
    <t>Consultorías para capacitación sobre el Manual de modalidades de anticipo de pruebas, modulo de formador de formadores para docentes, en ambientes virtuales, modelo andragógico y herramientas tecnológicas educativas (UNIFOCADEP).</t>
  </si>
  <si>
    <t>Consultorías para protocolos para mujeres con discapacidad, migrantes y adolescentes en conflicto con la Ley penal.</t>
  </si>
  <si>
    <t>Impresión de módulos para docentes, leyes, adquisición de libros físicos y digitales, afiches y trifoliares.</t>
  </si>
  <si>
    <t>Equipo de cómputo, aires acondicionados y otros.</t>
  </si>
  <si>
    <t>Consultorías para el diagnóstico y diseño de un Modelo de servicio de defensa integral a nivel regional, departamental y municipal  y para el diseño de sistemas informáticos</t>
  </si>
  <si>
    <t>Fortalecer la coordinación interinstitucional en procesos de investigación de delitos  vinculados a la violencia contra las mujeres, niñez y adolescencia</t>
  </si>
  <si>
    <t>USB que contenga los protocolos de DEIC</t>
  </si>
  <si>
    <t>Talleres para la socialización de protocolos de actuación policial en materia de investigación: - Niñez y adolescencia desaparecida, - Mujeres desaparecidas, - Violencia contra la mujer, - Delitos sexuales, - Femicidios, - Trata de personas, - Niños, niñas y adolescentes víctima de maltrato</t>
  </si>
  <si>
    <t>Automatización de procesos relacionados con la gestión del Defensor Público en atención a procesos penales relacionados con VcM,NNA.</t>
  </si>
  <si>
    <t>Tres sedes: Coordinación técnica</t>
  </si>
  <si>
    <t>Instituciones fortalecidas en su capacidad de promoción e información sobre la importancia de los mecanismo de respuesta y acceso a la justicia</t>
  </si>
  <si>
    <t xml:space="preserve">Actividades y eventos </t>
  </si>
  <si>
    <t>Diseño, producción de campañas y materiales impresos</t>
  </si>
  <si>
    <t>PQ 3.3.1.5
Fortalecimiento a la interconexión entre las instituciones que conforman el sector de Seguridad y Justicia en materia de VcM, niñez y adolescencia</t>
  </si>
  <si>
    <t>Coordinación interinstitucional con la Mesa tecnológica de la instancia coordinadora</t>
  </si>
  <si>
    <t>Reuniones de coordinación</t>
  </si>
  <si>
    <t>Consultorías para el diseño, implementación y seguimiento de sistemas de interconexión</t>
  </si>
  <si>
    <t>Fortalecimiento de capacidades técnicas especializadas del personal de las instituciones que ejercen funciones de investigación de casos de VcM,NNA.</t>
  </si>
  <si>
    <t>INSTITUCIONES QUE  EJERCEN FUNCIONES DE INVESTIGACIÓN</t>
  </si>
  <si>
    <t>SEICMSJ</t>
  </si>
  <si>
    <t>INSTITUCIONES ICMSJ</t>
  </si>
  <si>
    <t>R1</t>
  </si>
  <si>
    <t>R2</t>
  </si>
  <si>
    <t>R3</t>
  </si>
  <si>
    <t>F1</t>
  </si>
  <si>
    <t>F2</t>
  </si>
  <si>
    <t>F3</t>
  </si>
  <si>
    <t>F4</t>
  </si>
  <si>
    <t>PREVENCIÓN</t>
  </si>
  <si>
    <t xml:space="preserve">ATENCIÓN </t>
  </si>
  <si>
    <t>IMPUNIDAD</t>
  </si>
  <si>
    <t>GESTIÓN DEL PROGRAMA</t>
  </si>
  <si>
    <t>FUNCIONAMIENTO</t>
  </si>
  <si>
    <t>PLANIFICACIÓN, MONITOREO Y AUDITORIA</t>
  </si>
  <si>
    <t>COMUNICACIÓN Y VISIBILIDAD</t>
  </si>
  <si>
    <t>GASTO</t>
  </si>
  <si>
    <t>INVERSIÓN</t>
  </si>
  <si>
    <t>TOTAL GASTO</t>
  </si>
  <si>
    <t>2021-2022</t>
  </si>
  <si>
    <t>TOTAL INVERSIÓN</t>
  </si>
  <si>
    <t>TOTAL GENERAL</t>
  </si>
  <si>
    <t xml:space="preserve">TOTAL </t>
  </si>
  <si>
    <t>TOTAL</t>
  </si>
  <si>
    <t>COMPONENTE</t>
  </si>
  <si>
    <t>PQ. 2.1.1.2
Sistema Integral de Medidas de Seguridad -SIMS-
(MP-MINGOB-OJ-IAV)</t>
  </si>
  <si>
    <t>PQ. 2.1.2.2
Sistema Integral de Medidas de Protección -SIMP-
(MP-MINGOB-OJ-PGN.SBS)</t>
  </si>
  <si>
    <t>Apoyo a los procesos de formación de capacidades técnicas del personal de OJ en la implementación de los nuevos Tribunales y Juzgado de Femicidio y otras formas de violencia contra la mujer para ampliar el acceso a M VV, NNA. (tres)</t>
  </si>
  <si>
    <t>Fortalecimiento de las capacidades institucionales de los nuevos Tribunales y Juzgado de Femicidio y otras formas de violencia contra la mujer para mejorar el acceso y capacidad de respuesta del Estado hacia las  MVV, NNA.</t>
  </si>
  <si>
    <t xml:space="preserve">Dotación de mobiliario y equipo tecnológico a las sedes de tres nuevos Tribunales y Juzgados de Femicidio y otras formas de Violencia contra la Mujer. </t>
  </si>
  <si>
    <t>RESUMEN GENERAL POR AÑO, COMPONENTE Y RUBRO DE GASTO</t>
  </si>
  <si>
    <t>POM 2021-2022</t>
  </si>
  <si>
    <t>TOTAL EN PORCENTAJES</t>
  </si>
  <si>
    <t>%</t>
  </si>
  <si>
    <t>EJECUCIÓN MENSUALIZADA</t>
  </si>
  <si>
    <t>PERIODO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</si>
  <si>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</si>
  <si>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</si>
  <si>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</si>
  <si>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</si>
  <si>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</si>
  <si>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</si>
  <si>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</si>
  <si>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</si>
  <si>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</si>
  <si>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</si>
  <si>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</si>
  <si>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</si>
  <si>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PROYECCIÓN DE EJECUCIÓN 2021</t>
  </si>
  <si>
    <t>PROYECCIÓN DE EJECUCIÓN MENSUAL -POM- 2021-2022</t>
  </si>
  <si>
    <t>Coordinador Administrativo Financiero</t>
  </si>
  <si>
    <t>PQ 5.1.1.1 
Alquileres</t>
  </si>
  <si>
    <t>PQ 5.1.1.2
Servicios básicos y de seguridad</t>
  </si>
  <si>
    <t>Movilidad del personal</t>
  </si>
  <si>
    <t>Fletes, correspondencia y transporte de personas  para las tres sedes</t>
  </si>
  <si>
    <t>Gastos de movilidad del personal de las tres sedes</t>
  </si>
  <si>
    <t>Seguros en general de las tres sedes</t>
  </si>
  <si>
    <t>PQ. 5.1.1.5  
Materiales y suministros</t>
  </si>
  <si>
    <t xml:space="preserve">E. 5.1.1 Gastos de Operación </t>
  </si>
  <si>
    <t>Evaluación técnica del Programa</t>
  </si>
  <si>
    <t>Sede Suchitepéquez/Retalhuleu</t>
  </si>
  <si>
    <t>Diseño y desarrollo de un módulo de capacitación virtual en materia de prevención de la VcM y NNA.</t>
  </si>
  <si>
    <t>Implementación de un módulo de capacitación virtual en materia de prevención de la VcM y NNA.</t>
  </si>
  <si>
    <t>Apoyo a la implementación de acciones técnicas innovadoras de prevención, contenidas en las políticas municipales de prevención</t>
  </si>
  <si>
    <t>Apoyo con la dotación de mobiliario y equipo para la implementación de acciones innovadoras de prevención, contenidas en las políticas municipales de prevención</t>
  </si>
  <si>
    <t xml:space="preserve">Fortalecimiento de la capacidad  tecnológica de las OMNA para mejorar la prestación de servicios a las niñas, niños y adolescentes víctimas de violencia </t>
  </si>
  <si>
    <t xml:space="preserve">Fortalecimiento de la capacidad técnica de las OMNA para mejorar la prestación de servicios a las niñas, niños y adolescentes víctimas de violencia </t>
  </si>
  <si>
    <t xml:space="preserve">Fiscalías distritales, municipales y agencias de los departamentos de incidencia, fortalecidas técnicamente para la implementación del sistema de medidas de seguridad en casos de violencia contra las mujeres. </t>
  </si>
  <si>
    <t>Modelos de Atención Integral -MAI-, fortalecidos técnicamente para mejorar la capacidad de respuesta en el proceso de otorgamiento de las medidas de seguridad a las víctimas de la VcM, en el área de incidencia</t>
  </si>
  <si>
    <t>Modelos de Atención Integral -MAI-, equipados para mejorar la capacidad de respuesta en el proceso de otorgamiento de las medidas de seguridad a las víctimas de la VcM, en el área de incidencia</t>
  </si>
  <si>
    <t>Oficinas de Atención a la Víctima -OAV- fortalecidas en la infraestructura física y tecnológica para brindar atención oportuna a las mujeres victimas de violencia.</t>
  </si>
  <si>
    <t>Apoyar con mobiliario y equipo la implementación del Sistema de Gestión de Tribunales  SGT-NNA en órganos jurisdiccionales del área de incidencia para promover el otorgamiento inmediato y oportuno de medidas de protección.</t>
  </si>
  <si>
    <t>INFORMACIÓN FINANCIERA</t>
  </si>
  <si>
    <r>
      <rPr>
        <b/>
        <sz val="11"/>
        <color theme="1"/>
        <rFont val="Calibri"/>
        <family val="2"/>
        <scheme val="minor"/>
      </rPr>
      <t>Tipo de cooperación:</t>
    </r>
    <r>
      <rPr>
        <sz val="11"/>
        <color theme="1"/>
        <rFont val="Calibri"/>
        <family val="2"/>
        <scheme val="minor"/>
      </rPr>
      <t xml:space="preserve"> Financiera no Reembolsable </t>
    </r>
  </si>
  <si>
    <r>
      <rPr>
        <b/>
        <sz val="11"/>
        <color theme="1"/>
        <rFont val="Calibri"/>
        <family val="2"/>
        <scheme val="minor"/>
      </rPr>
      <t>Fuente cooperante</t>
    </r>
    <r>
      <rPr>
        <sz val="11"/>
        <color theme="1"/>
        <rFont val="Calibri"/>
        <family val="2"/>
        <scheme val="minor"/>
      </rPr>
      <t>: 
Agencia Española de Cooperación para el desarrollo -AECID-</t>
    </r>
  </si>
  <si>
    <r>
      <rPr>
        <b/>
        <sz val="11"/>
        <color theme="1"/>
        <rFont val="Calibri"/>
        <family val="2"/>
        <scheme val="minor"/>
      </rPr>
      <t>Institución ejecutora:</t>
    </r>
    <r>
      <rPr>
        <sz val="11"/>
        <color theme="1"/>
        <rFont val="Calibri"/>
        <family val="2"/>
        <scheme val="minor"/>
      </rPr>
      <t xml:space="preserve"> Secretaría Ejecutiva de la Instancia Coordinadora de Modernización del Sector Justicia</t>
    </r>
  </si>
  <si>
    <r>
      <rPr>
        <b/>
        <sz val="11"/>
        <color theme="1"/>
        <rFont val="Calibri"/>
        <family val="2"/>
        <scheme val="minor"/>
      </rPr>
      <t>Instituciones beneficiarias directas: -ICMSJ-</t>
    </r>
    <r>
      <rPr>
        <sz val="11"/>
        <color theme="1"/>
        <rFont val="Calibri"/>
        <family val="2"/>
        <scheme val="minor"/>
      </rPr>
      <t xml:space="preserve">
1. Organismo Judicial
2. Ministerio Público
3. Ministerio de Gobernación
4. Instituto de la Defensa Pública Penal
5. Instituto de Atención a la Víctima</t>
    </r>
  </si>
  <si>
    <r>
      <rPr>
        <b/>
        <sz val="11"/>
        <color theme="1"/>
        <rFont val="Calibri"/>
        <family val="2"/>
        <scheme val="minor"/>
      </rPr>
      <t xml:space="preserve">Dirección de la institución ejecutora:
</t>
    </r>
    <r>
      <rPr>
        <sz val="11"/>
        <color theme="1"/>
        <rFont val="Calibri"/>
        <family val="2"/>
        <scheme val="minor"/>
      </rPr>
      <t>2da. Calle 8-36 zona 14, Guatemala ciudad</t>
    </r>
  </si>
  <si>
    <r>
      <rPr>
        <b/>
        <sz val="11"/>
        <color theme="1"/>
        <rFont val="Calibri"/>
        <family val="2"/>
        <scheme val="minor"/>
      </rPr>
      <t>Dirección física del Programa:</t>
    </r>
    <r>
      <rPr>
        <sz val="11"/>
        <color theme="1"/>
        <rFont val="Calibri"/>
        <family val="2"/>
        <scheme val="minor"/>
      </rPr>
      <t xml:space="preserve">  
10 calle 0-32 zona 14, Guatemala ciudad. </t>
    </r>
  </si>
  <si>
    <t>EUROS</t>
  </si>
  <si>
    <t>QUETZALES</t>
  </si>
  <si>
    <t>R1. PREVENCIÓN</t>
  </si>
  <si>
    <t>R2. ATENCIÓN</t>
  </si>
  <si>
    <t xml:space="preserve"> 07/05/2018</t>
  </si>
  <si>
    <t>R3. IMPUNIDAD</t>
  </si>
  <si>
    <t>F1. GESTIÓN DEL PROGRAMA</t>
  </si>
  <si>
    <t xml:space="preserve">Fecha de finalización de la primera fase de ejecución:   </t>
  </si>
  <si>
    <t xml:space="preserve"> 21/11/2020</t>
  </si>
  <si>
    <t>F2. FUNCIONAMIENTO DEL PROGRAMA</t>
  </si>
  <si>
    <t xml:space="preserve">Fecha de inicio de la prórroga: </t>
  </si>
  <si>
    <t>F3. MONITOREO, EVALUACIÓN Y AUD.</t>
  </si>
  <si>
    <t xml:space="preserve">Fecha de finalización de la prórroga: </t>
  </si>
  <si>
    <t>F4. COMUNICACIÓN Y VISIBILIDAD</t>
  </si>
  <si>
    <t>OBJETIVOS DEL PROGRAMA</t>
  </si>
  <si>
    <t>TOTAL DE LA SUBVENCIÓN (PRÓRROGA)</t>
  </si>
  <si>
    <t>Apoyar a Guatemala en sus esfuerzos por reducir la violencia y la impunidad de los delitos contra la mujer, la niñez y la adolescencia en el área de intervención, a la vez que se respetan los Derechos Humanos y se promueve una cultura de paz.</t>
  </si>
  <si>
    <t>OBJETIVO GENERAL</t>
  </si>
  <si>
    <t>OBJETIVO ESPECÍFICO 1:</t>
  </si>
  <si>
    <t>OBJETIVO ESPECÍFICO 2:</t>
  </si>
  <si>
    <t>Incrementar la institucionalización y la participación ciudadana en los mecanismos de prevención de la violencia y apoyo a víctimas en delitos de violencia contra las mujeres, niñas, niños y adolescentes</t>
  </si>
  <si>
    <t>Reducir la impunidad por delitos violentos contra las mujeres, niñas, niños y adolescentes</t>
  </si>
  <si>
    <t xml:space="preserve">SEGUNDO DESEMBOLSO </t>
  </si>
  <si>
    <t>EN QUETZALES</t>
  </si>
  <si>
    <t>EN EUROS</t>
  </si>
  <si>
    <t>PROYECTADO EN Q</t>
  </si>
  <si>
    <t>PROYECTADO EN EUROS</t>
  </si>
  <si>
    <t>TOTAL POR COMPONENTE EN Q</t>
  </si>
  <si>
    <t>TOTAL POR COMPONENTE EN €</t>
  </si>
  <si>
    <t xml:space="preserve">Monto inicial de la subvención </t>
  </si>
  <si>
    <t>Monto vigente de la subvención autorizada para el período de prórroga</t>
  </si>
  <si>
    <t xml:space="preserve">Monto primer desembolso </t>
  </si>
  <si>
    <t>Monto por reducción de la Subvención</t>
  </si>
  <si>
    <t>Ejecución acumulada</t>
  </si>
  <si>
    <t>Ejecución 2021</t>
  </si>
  <si>
    <t>Presupuesto vigente</t>
  </si>
  <si>
    <t>Presupuesto Comprometido</t>
  </si>
  <si>
    <t>Presupuesto devengado</t>
  </si>
  <si>
    <t>Total ejecutado</t>
  </si>
  <si>
    <t xml:space="preserve">Ejecución presupuestaría </t>
  </si>
  <si>
    <t>FICHA DE INFORMACIÓN GENERAL 
PROGRAMA DE PREVENCIÓN DE LA VIOLENCIA Y EL DELITO CONTRA MUJERES, NIÑEZ Y ADOLESCENCIA -PREVI-</t>
  </si>
  <si>
    <t>Monto del 2do, 3ero y 4to. desembolsos previstos para el periodo de prórroga(*)</t>
  </si>
  <si>
    <t>(*) variación del monto por el tipo de cambio</t>
  </si>
  <si>
    <t>ACTIVIDAD ESTRATÉGICA</t>
  </si>
  <si>
    <t>META</t>
  </si>
  <si>
    <t>PRODUCTO</t>
  </si>
  <si>
    <t>Comupres conformadas en Escuintla</t>
  </si>
  <si>
    <t>Comupres conformadas en Retalhuleu</t>
  </si>
  <si>
    <t>Comupres conformadas en Suchitepéquez</t>
  </si>
  <si>
    <t>Reuniones de coordinación y fortalecimiento de capacidades técnicas de los/las integrantes de las COMUPRES</t>
  </si>
  <si>
    <t xml:space="preserve">Reuniones /talleres </t>
  </si>
  <si>
    <t>Políticas asesoradas en Escuintla</t>
  </si>
  <si>
    <t>Políticas asesoradas en Retalhuleu</t>
  </si>
  <si>
    <t>Políticas asesoradas en Suchitepéquez</t>
  </si>
  <si>
    <t>Descripción</t>
  </si>
  <si>
    <t>Reuniones de coordinación y fortalecimiento de capacidades técnicas y reuniones de trabajo para la formulación de las políticas</t>
  </si>
  <si>
    <t>Políticas municipales de prevención de la VcM, con las acciones más  innovadoras para prevenir la VcM, apoyadas técnicamente (2 por cada departamento)</t>
  </si>
  <si>
    <t>Políticas municipales de prevención de la VcM, con las acciones más  innovadoras para prevenir la VcM, apoyadas con equipo para su implementación (2 por cada departamento)</t>
  </si>
  <si>
    <t>METAS FÍSICAS 2021-2022</t>
  </si>
  <si>
    <t>Modelo diseñado</t>
  </si>
  <si>
    <t>Modelo con seguimiento y evaluación</t>
  </si>
  <si>
    <t>Campañas integrales de Prevención de la VcM, NNA</t>
  </si>
  <si>
    <t>Guía técnica para la conformación de las COMUPRES</t>
  </si>
  <si>
    <t xml:space="preserve">Acompañamiento técnico para la implementación del Modelo </t>
  </si>
  <si>
    <t>Sedes de UPCV de los tres departamentos de incidencia dotadas con vehículos</t>
  </si>
  <si>
    <t>Sedes de UPCV: 3 departamentos de incidencia y 1 sede central, con equipo de cómputo</t>
  </si>
  <si>
    <t>Estudios técnicos en materia de prevención de la VcM, NNA, realizados a través de Consultorías</t>
  </si>
  <si>
    <t>Talleres de capacitación para el personas de las cuatro Sedes de UPCV</t>
  </si>
  <si>
    <t>Comisarías 31, 33 y 34 con mobiliario, equipo de cómputo y motocicletas</t>
  </si>
  <si>
    <t>Consultoría para el diseño de material promocional</t>
  </si>
  <si>
    <t xml:space="preserve">Malla curricular del contenido del curso, </t>
  </si>
  <si>
    <t>Diseño del módulo virtual</t>
  </si>
  <si>
    <t>Adquisición de licencias y equipo informático para implementar el módulo virtual</t>
  </si>
  <si>
    <t>Talleres de capacitación para el fortalecimiento de capacidades técnica en materia de VCM, NNA a las 44 DMM de los tres departamentos de incidencia</t>
  </si>
  <si>
    <t>DMM equipadas, 
Serán priorizadas por los indicadores más altos de VCM,NNA (el 52% del total de las DMM)</t>
  </si>
  <si>
    <t>Talleres de capacitación para el fortalecimiento de capacidades técnicas en materia de violencia contra las NNA a las 9 OMNA de los tres departamentos de incidencia</t>
  </si>
  <si>
    <t>DMM equipadas, 
Serán priorizadas por los indicadores más altos de VNNA (el 20% del total de lasOMNA)</t>
  </si>
  <si>
    <t>Apoyo en las readecuaciones y equipamiento de las instalaciones del Modelo MAIVI en Escuintla</t>
  </si>
  <si>
    <t>Apoyo en las readecuaciones y equipamiento de las instalaciones del Modelo MAIVI en Retalhuleu</t>
  </si>
  <si>
    <t>Apoyo en las readecuaciones y equipamiento de las instalaciones del Modelo MAIVI en Suchitepéquez</t>
  </si>
  <si>
    <t>Apoyo en la implementación del Modelo MAIVI en el departamento de Escuintla</t>
  </si>
  <si>
    <t>Apoyo en la implementación del Modelo MAIVI en el departamento de Retalhuleu</t>
  </si>
  <si>
    <t>Apoyo en la implementación del Modelo MAIVI en el departamento de Suchitepéquez</t>
  </si>
  <si>
    <t>Protocolos para la atención del IDPP en el MAINA</t>
  </si>
  <si>
    <t>Sede del MP en el MAINA, equipada</t>
  </si>
  <si>
    <t xml:space="preserve">Sede del IAV en el MAINA, equipada y con readecuaciones a la infraestructura. </t>
  </si>
  <si>
    <t>Diseño del SIMS</t>
  </si>
  <si>
    <t>Seguimiento a la implementación</t>
  </si>
  <si>
    <t xml:space="preserve">Juzgado de Paz fortalecidos con mobiliario y equipo para implementar el Modelo de atención especializada de Juzgados de Paz y Medidas de seguridad para la debida diligencia en casos de VcM  </t>
  </si>
  <si>
    <t xml:space="preserve">Juzgado de Paz fortalecidos técnicamente para implementar el Modelo de atención especializada de Juzgados de Paz y  Medidas de seguridad para la debida diligencia en casos de VcM  </t>
  </si>
  <si>
    <t>Estudios técnicos para la implementación de las medidas de seguridad</t>
  </si>
  <si>
    <t>Fiscalías distritales y municipales equipadas</t>
  </si>
  <si>
    <t>OAV del área de incidencia equipadas</t>
  </si>
  <si>
    <t>Diseño del SIMP</t>
  </si>
  <si>
    <t>Juzgados de NNA equipados</t>
  </si>
  <si>
    <t>Consultorías para la elaboración de herramientas técnicas y metodológicas</t>
  </si>
  <si>
    <t>Equipadas las instituciones que conforman la ICMSJ con sede en el MAIMI</t>
  </si>
  <si>
    <t>Talleres/reuniones y consultorías para el fortalecimiento de capacidades técnicas del personal del MAIMI</t>
  </si>
  <si>
    <t xml:space="preserve">Readecuaciones a las Instalaciones del MAIMI </t>
  </si>
  <si>
    <t xml:space="preserve">  - Diseño, actualización e implementación de metodologías e instrumentos técnicos (Guía, protocolos, rutas, etc. )</t>
  </si>
  <si>
    <t xml:space="preserve"> - Estrategia de seguimiento y evaluación a los ELB </t>
  </si>
  <si>
    <t xml:space="preserve"> - Reuniones/talleres para la conformación de ELB</t>
  </si>
  <si>
    <t xml:space="preserve"> - Modulo interactivo para la formación en Alerta Isabel Claudina y conformación de ELB</t>
  </si>
  <si>
    <t xml:space="preserve"> - Estrategia para la vinculación de la alerta Alba Keneth a la alerta Isabel Claudina</t>
  </si>
  <si>
    <t xml:space="preserve"> - Facilitación de procesos de fortalecimiento de capacidades técnicas </t>
  </si>
  <si>
    <t xml:space="preserve"> - Encuentro regional de ELB para intercambio de experiencias y buenas prácticas </t>
  </si>
  <si>
    <t xml:space="preserve"> - Documento que sistematice el proceso de conformación y seguimiento de los ELB</t>
  </si>
  <si>
    <t xml:space="preserve"> - Conformación de ELB en Escuintla</t>
  </si>
  <si>
    <t xml:space="preserve"> - Conformación de ELB en Suchitepéquez</t>
  </si>
  <si>
    <t xml:space="preserve"> - Conformación de ELB en Retalhuleu</t>
  </si>
  <si>
    <t>Mesa departamental de coordinación interinstitucional para la Alerta Alba Keneth (NNA) para el seguimiento de las alertas</t>
  </si>
  <si>
    <t>Mesa departamental de coordinación interinstitucional para la Alerta Isabel Claudina (M) para el seguimiento de las alertas</t>
  </si>
  <si>
    <t>Consultoría para el seguimiento a los mecanismos de búsqueda</t>
  </si>
  <si>
    <t>Fiscalías de la Mujer equipadas</t>
  </si>
  <si>
    <t>Campañas integrales para promocionar el acceso a la justicia y el incremento de la denuncia</t>
  </si>
  <si>
    <t xml:space="preserve">Reuniones/talleres de coordinación </t>
  </si>
  <si>
    <t>Eventos de capacitación para el personal del DEIC en los departamentos de incidencia</t>
  </si>
  <si>
    <t>Fiscalías de Femicidio equipadas</t>
  </si>
  <si>
    <t>Consultorías y talleres para el proceso de sistematización e interconexión</t>
  </si>
  <si>
    <t>Tribunales y Juzgados de Femicidio con personal capacitado</t>
  </si>
  <si>
    <t>Tribunales y Juzgados de Femicidio equipados</t>
  </si>
  <si>
    <t>Tres sedes del IDPP del área de incidencia y Sede central con capacidades fortalecidas</t>
  </si>
  <si>
    <t>Procesos automatizados para mejorar la capacidad de respuesta del IDPP en procesos de VcM</t>
  </si>
  <si>
    <t>Tres sedes del IDPP del área de incidencia y Sede central fortalecidas con equipo, mobiliario y transporte</t>
  </si>
  <si>
    <t>Diseño de sistemas informáticos</t>
  </si>
  <si>
    <r>
      <rPr>
        <b/>
        <sz val="11"/>
        <color theme="1"/>
        <rFont val="Calibri"/>
        <family val="2"/>
        <scheme val="minor"/>
      </rPr>
      <t xml:space="preserve">Área de cobertura: </t>
    </r>
    <r>
      <rPr>
        <sz val="11"/>
        <color theme="1"/>
        <rFont val="Calibri"/>
        <family val="2"/>
        <scheme val="minor"/>
      </rPr>
      <t xml:space="preserve">
1. Departamento de Escuintla
2. Departamento de Retalhuleu
3. Departamento de Suchitepéquez</t>
    </r>
  </si>
  <si>
    <t>Estrategia de implementación del Modelo en los tres departamento de incidencia</t>
  </si>
  <si>
    <r>
      <rPr>
        <b/>
        <u/>
        <sz val="12"/>
        <color theme="1"/>
        <rFont val="Calibri"/>
        <family val="2"/>
        <scheme val="minor"/>
      </rPr>
      <t>Resultado intermedio 1.3.</t>
    </r>
    <r>
      <rPr>
        <b/>
        <sz val="12"/>
        <color theme="1"/>
        <rFont val="Calibri"/>
        <family val="2"/>
        <scheme val="minor"/>
      </rPr>
      <t xml:space="preserve">  Fortalecimiento de las instituciones de prevención de la violencia con  enfoque de género, etario, multiculturalidad y de DDHH</t>
    </r>
  </si>
  <si>
    <t>Mejorar la capacidad de movilización del personal de las UPCV a los municipios del área de incidencia.</t>
  </si>
  <si>
    <t xml:space="preserve">Eventos para conmemoración de fechas internacionales </t>
  </si>
  <si>
    <t>Talleres de capacitación en materia de prevención de la VcM al personal de las Comisarías</t>
  </si>
  <si>
    <t>Mejora de la capacidad tecnológica y de movilización  de las Comisarías de la SGPD para un mejor desempeño de su función policial en la prevención de la VcM,NNA.</t>
  </si>
  <si>
    <t>Fortalecimiento de la capacidad técnica de las DMM para mejorar la prestación de sus servicios a las MVV,NNA</t>
  </si>
  <si>
    <t>Fortalecimiento de la capacidad tecnológica de las DMM para mejorar la prestación de sus servicios a las MVV, NNA</t>
  </si>
  <si>
    <t>Talleres/reuniones para el fortalecimiento de capacidades técnicas en materia de medidas de seguridad a MVV.</t>
  </si>
  <si>
    <t xml:space="preserve">Juzgado de Paz fortalecidos técnicamente para implementar el "Modelo de atención especializada de Juzgados de Paz" para la debida diligencia en casos de VcM  </t>
  </si>
  <si>
    <t xml:space="preserve">Juzgado de Paz fortalecidos con mobiliario y equipo para implementar el "Modelo de atención especializada de Juzgados de Paz" para la debida diligencia en casos de VcM  </t>
  </si>
  <si>
    <t>Órganos jurisdiccionales con mobiliario y equipo</t>
  </si>
  <si>
    <t xml:space="preserve">Fiscalías distritales fortalecidas técnicamente </t>
  </si>
  <si>
    <t>MAI del área de incidencia fortalecidas con Consultorías para estudios técnicos</t>
  </si>
  <si>
    <t>MAI del área de incidencia equipadas</t>
  </si>
  <si>
    <t>Oficinas de Atención a la Víctima -OAV- fortalecidas técnicamente para brindar atención oportuna a las mujeres victimas de violencia.</t>
  </si>
  <si>
    <t>OAV del área de incidencia fortalecidas técnicamente</t>
  </si>
  <si>
    <t>OAV del área de incidencia con readecuaciones a la infraestructura</t>
  </si>
  <si>
    <t>Talleres/reuniones para el fortalecimiento de capacidades técnicas en materia de medidas de protección para NNA.</t>
  </si>
  <si>
    <t>Apoyar técnicamente la implementación del Sistema de Gestión de Tribunales  SGT-NNA, en órganos jurisdiccionales del área de incidencia para promover el otorgamiento inmediato y oportuno de medidas de protección</t>
  </si>
  <si>
    <t>Agencias fiscales de la Mujer equipadas</t>
  </si>
  <si>
    <t>Campañas integrales de atención de la VcM, NNA</t>
  </si>
  <si>
    <t>Fortalecimiento al área tecnológica de las fiscalías de la mujer en los departamentos de incidencia</t>
  </si>
  <si>
    <t>Unidades de DEIC del área de incidencia equipadas con vehículos para su movilización durante los procesos de investigación</t>
  </si>
  <si>
    <t>Mejoramiento de la capacidad institucional de las Sedes del IDPP  para atender una defensa oportuna con enfoque victimológico.</t>
  </si>
  <si>
    <t xml:space="preserve">Reuniones de coordinación y seguimiento al proceso de interconexión de sistemas </t>
  </si>
  <si>
    <t>Diseño de sistemas informáticos para la interconexión de las instituciones del sector de seguridad y justicia</t>
  </si>
  <si>
    <t xml:space="preserve">2 Asistentes administrativo/as en compras y adquisiciones </t>
  </si>
  <si>
    <t>Asistente administrativo/a
Escuintla (Responsable Administrativo)</t>
  </si>
  <si>
    <t>Asistente administrativa/o Suchitepéquez  (Responsable Administrativo)</t>
  </si>
  <si>
    <t>Indemnización a personal</t>
  </si>
  <si>
    <t>Asesor Jurídico</t>
  </si>
  <si>
    <t>Impresión de documentos técnicos y legales: políticas públicas municipales de prevención, guías, protocolos, rutas, manuales de referencia, afiches, trifoliares, documentos jurídicos y otros.</t>
  </si>
  <si>
    <t>Equipo: servidores, cámaras digitales, videocámaras, micrófonos, luces, computadoras portátiles, impresoras, lentes, cañoneras, scanner, licencias de software, entre otros.</t>
  </si>
  <si>
    <t xml:space="preserve">Talleres de capacitación para el fortalecimiento de capacidades técnicas </t>
  </si>
  <si>
    <t>Mobiliario y equipo: Laptop, cañonera, impresora, megáfono y escritorio</t>
  </si>
  <si>
    <t>Mobiliario de oficina, equipo de cómputo, equipo de multimedia, electrodomésticos, televisores, accesorios y otros</t>
  </si>
  <si>
    <t xml:space="preserve">Consultorías para la Implementación de: " Medidas de seguridad inmediatas,  oportunas y pertinentes. Guía de apoyo para su otorgamiento". </t>
  </si>
  <si>
    <t>Dos Consultoría para fortalecimiento del SAI en las áreas de intervención del programa (Trabajador/a Social y Psicólogo/a)</t>
  </si>
  <si>
    <t>Equipamiento del MAI en Escuintla, Suchitepéquez y Retalhuleu.</t>
  </si>
  <si>
    <t>Readecuaciones a la infraestructura (OAV/PNC Suchi y Reu 2021, y para el 2022 para las 3 sedes</t>
  </si>
  <si>
    <t>Adquisición de vehículos (10 tipo pick-up) y motocicletas (5)</t>
  </si>
  <si>
    <t>Capacitación de las unidades siguientes: análisis criminal;  análisis de imagen y video forense;  investigación de delitos informáticos; y  unidades de investigación sobre material de abuso sexual infantil en línea</t>
  </si>
  <si>
    <t>Vehículos tipo Pick Up 4X4  y  tipo microbús para las cuatro áreas geográficas priorizadas.</t>
  </si>
  <si>
    <t>Equivalencias en Euros</t>
  </si>
  <si>
    <t xml:space="preserve">Fecha de Inicio s/n Resol. Subvención: </t>
  </si>
  <si>
    <t>Fecha de ingreso de fondos:</t>
  </si>
  <si>
    <t>Fecha de suscripción (Aceptación)</t>
  </si>
  <si>
    <t xml:space="preserve"> 14/03/2018</t>
  </si>
  <si>
    <t xml:space="preserve">TOTAL POR COMPONENTE </t>
  </si>
  <si>
    <t>Tipo de Cambio estimado</t>
  </si>
  <si>
    <t>Tipo de Cambio aplicado</t>
  </si>
  <si>
    <t>ACUMULADO 2021</t>
  </si>
  <si>
    <t>ACUMULADO 2022</t>
  </si>
  <si>
    <t>Apoyar los procesos de actualización de Hardware y software de las fiscalías de Femicidio del área de incidencia.</t>
  </si>
  <si>
    <t>Apoyar los procesos de actualización de hardware y software de las fiscalías de Femicidio del área de incidencia.</t>
  </si>
  <si>
    <t>Oficinas de Atención a la Víctima -OAV- fortalecidas técnicamente para brindar atención oportuna a las mujeres victimas de violencia, así como  la coordinación y seguimiento a las redes de derivación</t>
  </si>
  <si>
    <t>Talleres de capacitación para fortalecer la capacidad técnica del personal e integrantes de las redes de derivación para mejorar la atención a victimas, con enfoque de DH.</t>
  </si>
  <si>
    <t xml:space="preserve">Electrodomésticos  y otras herramientas para el funcionamiento de las sedes </t>
  </si>
  <si>
    <t>PQ 1.2.1.2
Modelo estratégico de prevención de la violencia contra las mujeres, niñez y adolescencia del Programa PREVI en los Departamentos de incidencia.</t>
  </si>
  <si>
    <t>PQ 1.2.1.2
Modelo estratégico de prevención de la violencia contra las mujeres, niñez y adolescencia del Programa PREVI en los Departamentos de incidencia .</t>
  </si>
  <si>
    <t>Campañas de socialización, sensibilización y comunicación para prevenir la VcM, NNA</t>
  </si>
  <si>
    <t>Insumos, suministros, herramientas en general y utensilios de cocina y cafeteria para las Sedes del Programa</t>
  </si>
  <si>
    <t>Insumos, suministros, herramientas  en general y utensilios de cocina y cafeteria para las Sedes del Programa</t>
  </si>
  <si>
    <r>
      <rPr>
        <sz val="11"/>
        <color rgb="FFBC00BC"/>
        <rFont val="Calibri"/>
        <family val="2"/>
        <scheme val="minor"/>
      </rPr>
      <t>Retalhuleu</t>
    </r>
    <r>
      <rPr>
        <sz val="11"/>
        <color rgb="FF00B050"/>
        <rFont val="Calibri"/>
        <family val="2"/>
        <scheme val="minor"/>
      </rPr>
      <t>: Responsable de Gestión</t>
    </r>
  </si>
  <si>
    <r>
      <rPr>
        <sz val="11"/>
        <color rgb="FFBC00BC"/>
        <rFont val="Calibri"/>
        <family val="2"/>
        <scheme val="minor"/>
      </rPr>
      <t>Retalhuleu</t>
    </r>
    <r>
      <rPr>
        <sz val="11"/>
        <color rgb="FF00B050"/>
        <rFont val="Calibri"/>
        <family val="2"/>
        <scheme val="minor"/>
      </rPr>
      <t>: Asistencia profesional</t>
    </r>
  </si>
  <si>
    <r>
      <rPr>
        <sz val="11"/>
        <color rgb="FFBC00BC"/>
        <rFont val="Calibri"/>
        <family val="2"/>
        <scheme val="minor"/>
      </rPr>
      <t>Retalhuleu</t>
    </r>
    <r>
      <rPr>
        <sz val="11"/>
        <color rgb="FF00B050"/>
        <rFont val="Calibri"/>
        <family val="2"/>
        <scheme val="minor"/>
      </rPr>
      <t>: Asistencia Profesional</t>
    </r>
  </si>
  <si>
    <t>Retalhuleu: Asistencia profesional + (1121.A1)</t>
  </si>
  <si>
    <t>Retalhuleu: Asistencia técnica + (1121.A1)</t>
  </si>
  <si>
    <t xml:space="preserve">Retalhuleu: Asistencia profesional </t>
  </si>
  <si>
    <t>Suchitepéquez: Asistencia Técnica 1</t>
  </si>
  <si>
    <t>Suchitepéquez: Asistencia técnica 2</t>
  </si>
  <si>
    <t>Suchitepéquez: Asistencia profesional</t>
  </si>
  <si>
    <t>Suchitepéquez: Asistencia técnica 1</t>
  </si>
  <si>
    <t xml:space="preserve">Suchitepéquez: Asistencia Profesional </t>
  </si>
  <si>
    <t>Suchitepéquez: Asistencia técnica</t>
  </si>
  <si>
    <t>Suchitepéquez: Asistencia Técnica</t>
  </si>
  <si>
    <t>Vehículos</t>
  </si>
  <si>
    <t xml:space="preserve">Mobiliario y equipo </t>
  </si>
  <si>
    <t>Asistencias técnicas y profesionales</t>
  </si>
  <si>
    <t>Campañas para la promoción, divulgación y socialización de los servicios que brinda el MAIMI</t>
  </si>
  <si>
    <t>Impresión de documentos</t>
  </si>
  <si>
    <t>Accesorios promocionales</t>
  </si>
  <si>
    <t>Fortalecimiento de los procesos de seguimiento y capacidades técnicas del personal del MAIMI, para incrementar, retroalimentar conocimientos para el abordaje de la VcM</t>
  </si>
  <si>
    <t xml:space="preserve">Asistente administrativa/o Suchitepéquez  </t>
  </si>
  <si>
    <t xml:space="preserve">Asistente administrativa/o Suchitepéquez </t>
  </si>
  <si>
    <t xml:space="preserve">Asistente administrativo/a
Escuintla </t>
  </si>
  <si>
    <t>AP ESCUINTLA</t>
  </si>
  <si>
    <t>AT ESCUINTLA</t>
  </si>
  <si>
    <t>AP SUCHITEPÉQUEZ</t>
  </si>
  <si>
    <t>AT SUCHITEPÉQUEZ</t>
  </si>
  <si>
    <t>AP RETALHULEU</t>
  </si>
  <si>
    <t>AT RETALHULEU</t>
  </si>
  <si>
    <t>TIPO DE CONTRATACIÓN</t>
  </si>
  <si>
    <t>ATENCIÓN</t>
  </si>
  <si>
    <t>Suchitepéquez: Asistencias profesional (Diseño)</t>
  </si>
  <si>
    <t>V-NNA</t>
  </si>
  <si>
    <t>V-MUJER</t>
  </si>
  <si>
    <t>V-NNA Y MUJER</t>
  </si>
  <si>
    <t>COBERTURA</t>
  </si>
  <si>
    <t>21 MUNICIPIOS</t>
  </si>
  <si>
    <t>14 MUNICIPIOS</t>
  </si>
  <si>
    <t>9 MUNICIPIOS</t>
  </si>
  <si>
    <t>IAV**</t>
  </si>
  <si>
    <t>CONSOLIDADO DE ASISTENCIAS TÉCNICAS Y PROFESIONALES PARA LAS SEDES DEPARTAMENTALES</t>
  </si>
  <si>
    <t>TOTAL 2022</t>
  </si>
  <si>
    <t>TOTAL 2021</t>
  </si>
  <si>
    <t>Inversión estimada  Febrero - octubre</t>
  </si>
  <si>
    <t>Inversión prevista febrero - octubre 2021</t>
  </si>
  <si>
    <t>Inversión prevista de enero a octubre 2021</t>
  </si>
  <si>
    <t>Reuniones de coordinación y/o Fortalecimiento de capacidades técnicas de los/las integrantes de las COMUPRES</t>
  </si>
  <si>
    <t>Reuniones de coordinación y/o fortalecimiento de capacidades técnicas y reuniones de trabajo para la formulación de las políticas</t>
  </si>
  <si>
    <t>(496) GASTO</t>
  </si>
  <si>
    <t xml:space="preserve">(796) INVERSIÓN </t>
  </si>
  <si>
    <t>Segundo desembolso</t>
  </si>
  <si>
    <t>Tercer desembolso</t>
  </si>
  <si>
    <t>EJECUCIÓN PREVISTA PARA EL RUBRO DE INVERSIÓN -FEBRERO A OCTUBRE 2021 -</t>
  </si>
  <si>
    <t>F2 FUNCIONAMIENTO</t>
  </si>
  <si>
    <t>Total proyectado</t>
  </si>
  <si>
    <t>Total desembolsos</t>
  </si>
  <si>
    <t>diferencia</t>
  </si>
  <si>
    <t>Diseño y difusión en medios radiales y televisivos</t>
  </si>
  <si>
    <t>MP-ICMSJ</t>
  </si>
  <si>
    <t>DESEMBOLSOS 2021</t>
  </si>
  <si>
    <t>PRIMER DESEMBOLSO</t>
  </si>
  <si>
    <t>Ejecutado al 31/01/2021</t>
  </si>
  <si>
    <t>Total en Euros</t>
  </si>
  <si>
    <t>Total en Quetzales</t>
  </si>
  <si>
    <t>Pendiente de ejecutar febrero-mayo 2021</t>
  </si>
  <si>
    <t>Febrero</t>
  </si>
  <si>
    <t>Marzo</t>
  </si>
  <si>
    <t xml:space="preserve">Abril </t>
  </si>
  <si>
    <t>Mayo</t>
  </si>
  <si>
    <t>Resultado o Componente</t>
  </si>
  <si>
    <t>Entregable</t>
  </si>
  <si>
    <t>Paquete de trabajo</t>
  </si>
  <si>
    <t>Actividad</t>
  </si>
  <si>
    <t>Sub-actividad</t>
  </si>
  <si>
    <t>Total</t>
  </si>
  <si>
    <t>A.1 Dotación de mobiliario, equipo, vehículos e insumos para el funcionamiento del MAIMI.</t>
  </si>
  <si>
    <t xml:space="preserve">Readecuaciones de las instalaciones físicas del MAIMI para garantizar un espacio digno para la atención a  víctimas de violencia contra la mujer. </t>
  </si>
  <si>
    <t>Mobiliario</t>
  </si>
  <si>
    <t>Equipo en general</t>
  </si>
  <si>
    <t xml:space="preserve">Accesorios e Insumos </t>
  </si>
  <si>
    <t>Servicios de mantenimiento y/o reparaciones</t>
  </si>
  <si>
    <t>Materiales de construcción</t>
  </si>
  <si>
    <t>Accesorios en general</t>
  </si>
  <si>
    <t>Insumos varios</t>
  </si>
  <si>
    <r>
      <t>Dotación de mobiliario, equipo y vehículos para los Juzgados Especializados</t>
    </r>
    <r>
      <rPr>
        <u/>
        <sz val="11"/>
        <rFont val="Candara"/>
        <family val="2"/>
      </rPr>
      <t xml:space="preserve"> </t>
    </r>
    <r>
      <rPr>
        <sz val="11"/>
        <rFont val="Candara"/>
        <family val="2"/>
      </rPr>
      <t>y de Paz</t>
    </r>
  </si>
  <si>
    <t>A1. Fortalecimiento y capacitación sobre violencia basada en género y violaciones a los derechos humanos a la niñez en el juzgado pluripersonal de Escuintla y Suchitepéquez  con competencia en violencia intrafamiliar.</t>
  </si>
  <si>
    <t>PQ 3.3.1.2
 Agilización de procesos y procedimientos en el ámbito de la jurisdicción civil y de familia en casos normalmente vinculados a violencia contra la mujer</t>
  </si>
  <si>
    <t>PQ 4.1.2.1 Mobiliario y equipo de las Sedes</t>
  </si>
  <si>
    <t>A1. Dotación de equipo informático</t>
  </si>
  <si>
    <t>laptop</t>
  </si>
  <si>
    <t>cañoneras</t>
  </si>
  <si>
    <t>impresoras multifuncionales</t>
  </si>
  <si>
    <t>UPS</t>
  </si>
  <si>
    <t>Computadoras de escritorio</t>
  </si>
  <si>
    <t>E4.1.2.
Equipamiento</t>
  </si>
  <si>
    <t>4.  Gestión del Programa (F1)</t>
  </si>
  <si>
    <t>5. Gastos de Funcionamiento (F2)</t>
  </si>
  <si>
    <t>E5.1.1
 Gastos de operación</t>
  </si>
  <si>
    <t>PQ. 5.1.1.2  
Materiales y suministros</t>
  </si>
  <si>
    <t>A1. Suministros e insumos</t>
  </si>
  <si>
    <t>Útiles de oficina, documentos contables y administrativos</t>
  </si>
  <si>
    <t>Resultado 2. 
Incrementada la eficacia de la asistencia a mujeres, niñas, niños y adolescentes víctimas de violencia en el área de intervención del programa.</t>
  </si>
  <si>
    <t>Resultado R.3
Reducción de la impunidad en los delitos de violencia contra la mujeres, niñez y adolescencia.</t>
  </si>
  <si>
    <t xml:space="preserve">E.2.2.1
Implementación de un modelo de atención inmediata a mujeres, niños/as y adolescencia víctimas de violencia contra la mujer, delitos sexuales y trata </t>
  </si>
  <si>
    <t xml:space="preserve">E 3.3.1
 Fortalecimiento de los procesos judiciales de mujeres, niñez y adolescencia víctimas de violencia contra las mujeres, delitos sexuales, explotación y trata. </t>
  </si>
  <si>
    <t>POA V6</t>
  </si>
  <si>
    <t xml:space="preserve">A.1 Dotación de mobiliario, equipo y enseres a las sedes de las instituciones del sistema de seguridad y justicia para garantizar su funcionamiento y la atención oportuna a las víctimas de VcM.  </t>
  </si>
  <si>
    <t xml:space="preserve">A.2 Readecuaciones de las instalaciones físicas del MAIMI para garantizar un espacio digno para la atención a  víctimas de violencia contra la mujer. </t>
  </si>
  <si>
    <t>Mobiliario y equipo</t>
  </si>
  <si>
    <t>Insumos y accesorios de construcción</t>
  </si>
  <si>
    <t xml:space="preserve">A.1 Mobiliario </t>
  </si>
  <si>
    <t>A.2 Equipo de cómputo</t>
  </si>
  <si>
    <t>A.3 Equipo de comunicaciones y audiovisuales</t>
  </si>
  <si>
    <t xml:space="preserve">A.4 Electrodomésticos  y otras herramientas para el funcionamiento de las sedes </t>
  </si>
  <si>
    <t xml:space="preserve">A1. Útiles de oficina, documentos y otros </t>
  </si>
  <si>
    <t>Facilitar los medios de movilización del personal de los órganos jurisdiccionales del área de incidencia para mejorar la efectividad en la respuesta del estado a las víctimas de violencia contra las mujeres, niñez y adolescencia.</t>
  </si>
  <si>
    <t>Dotación de motocicletas</t>
  </si>
  <si>
    <t>A.1 Facilitar los medios de movilización del personal de los órganos jurisdiccionales del área de incidencia para mejorar la efectividad en la respuesta del estado a las víctimas de violencia contra las mujeres, niñez y adolescencia.</t>
  </si>
  <si>
    <t>Saldo Primer desembolso</t>
  </si>
  <si>
    <t>GASTO (496)</t>
  </si>
  <si>
    <t>INVERSIÓN (796)</t>
  </si>
  <si>
    <t>Campañas de socialización de los servicios que brinda el MAIMI a las mujeres víctimas de violencia.</t>
  </si>
  <si>
    <t xml:space="preserve">Campañas de socialización </t>
  </si>
  <si>
    <t>Técnicos para acompañar el proceso de implementación</t>
  </si>
  <si>
    <t>SGT V2 implementado en los Órganos Jurisdicionales del área de incidencia</t>
  </si>
  <si>
    <t>Consultorías para el desarrollo del SGT-NNA V2</t>
  </si>
  <si>
    <t>Trabajadores de los Órganos Jurisdicionales capacitados para la implementación del SGT  V"</t>
  </si>
  <si>
    <t xml:space="preserve">PQ 3.3.1.2
 Agilización de procesos y procedimientos en los Órganos jurisdiccionales en materia civil, familia, violencia contra la mujer, niñez y adolescencia víctima. </t>
  </si>
  <si>
    <t>Facilitar los medios de movilización del personal de los órganos jurisdiccionales del área de incidencia para mejorar la efectividad en la respuesta del Estado a las víctimas de violencia contra las mujeres, niñez y adolescencia.</t>
  </si>
  <si>
    <t>Dotación de motocicletas para el fortalecimiento de los Órganos jurisdiccionales</t>
  </si>
  <si>
    <t>ACTIVIDAD</t>
  </si>
  <si>
    <t>CONSULTORÍA</t>
  </si>
  <si>
    <t>SEDE</t>
  </si>
  <si>
    <t>Prevención</t>
  </si>
  <si>
    <t>PQ 3.3.1.4
Fortalecimiento al Instituto de la Defensa Pública Penal en la gestión penal por audiencias y la coordinación con otras entidades del sector justicia para reducir la mora judicial en casos de VcM.</t>
  </si>
  <si>
    <t>ASISTENCIA PROFESIONAL PARA REALIZAR EL SEGUIMIENTO Y MEDICIÓN DE LA GESTIÓN PENAL POR AUDIENCIAS EN LOS ÓRGANOS JURISDICCIONALES ESPECIALIZADOS EN LOS DEPARTAMENTOS DE INTERVENCIÓN</t>
  </si>
  <si>
    <t xml:space="preserve">Asistencia profesional para realizar el seguimieto y medición de la Gestión Penal por Audiencias en los Órganos jurisdiccionales especializados en los dpartamentos de intervención. </t>
  </si>
  <si>
    <t>Suchi/Reu: Asistencia Profesional</t>
  </si>
  <si>
    <t>Fortalecimiento de capacidades técnicas jurídicas al personal que participa en el proceso de gestión penal por audiencias, para ampliar la capacidad de respuesta y la calidad del servicio con enfoque victimológico y  derechos humanos en casos de VcM.</t>
  </si>
  <si>
    <t>Automatización de procesos relacionados con la gestión del Defensor Público en atención a procesos penales relacionados con VcM.</t>
  </si>
  <si>
    <t>No.</t>
  </si>
  <si>
    <t>PQ 1.1.2.1</t>
  </si>
  <si>
    <t xml:space="preserve">
Conformación y/o fortalecimiento de las Comisiones Municipales de Prevención -COMUPRES- en los municipios priorizados.</t>
  </si>
  <si>
    <t>Suchitepéquez - Retalhuleu</t>
  </si>
  <si>
    <t>PQ 1.1.3.1</t>
  </si>
  <si>
    <t>Acompañamiento técnico en la formulación  y/o actualización de políticas municipales y departamentales de prevención de la violencia contra las mujeres, niñas, niños y adolescentes.</t>
  </si>
  <si>
    <t>Atención</t>
  </si>
  <si>
    <t>PQ. 2.1.1.2</t>
  </si>
  <si>
    <t>Sistema Integral de Medidas de Seguridad -SIMS-</t>
  </si>
  <si>
    <t>Escuintla</t>
  </si>
  <si>
    <t>ASISTENCIA PROFESIONAL PARA INCREMENTAR LA EFICACIA EN LA ASISTENCIA INTEGRAL Y MEJORAR EL SISTEMA DE ACOMPAÑAMIENTO Y RESGUARDO DE LAS MUJERES VÍCTIMAS DE VIOLENCIA, DELITOS SEXUALES Y TRATA DE PERSONAS, EN EL DEPARTAMENTO DE ESCUINTLA.</t>
  </si>
  <si>
    <t>PQ. 2.1.2.2</t>
  </si>
  <si>
    <t>Sistema Integral de Medidas de Protección -SIMP-</t>
  </si>
  <si>
    <t>ASISTENCIA PROFESIONAL PARA LLEVAR A CABO LA IMPLEMENTACIÓN DE UN MODELO DE COORDINACIÓN INTERINSTITUCIONAL QUE GARANTICE EL OTORGAMIENTO DE MEDIDAS DE PROTECCIÓN INTEGRAL EN LOS DEPARTAMENTOS DE SUCHITEPÉQUEZ Y RETALHULEU.</t>
  </si>
  <si>
    <t>Impunidad</t>
  </si>
  <si>
    <t>PQ 3.2.1.1</t>
  </si>
  <si>
    <t xml:space="preserve">
Revisión y readecuación del proceso de investigación criminal de delitos contra la mujer en las áreas de cobertura del Programa. </t>
  </si>
  <si>
    <t>Fortalecer la coordinación interinstitucional en procesos de investigación de delitos  vinculados a la violencia contra las mujeres, niñez y adolescenci</t>
  </si>
  <si>
    <t>ASISTENCIA PROFESIONAL PARA MEJORAR LA INVESTIGACIÓN CRIMINAL DE DELITOS CONTRA LA VIDA Y FEMICIDIO, VIOLENCIA CONTRA LA MUJER, NIÑEZ Y ADOLESCENCIA, DELITOS SEXUALES Y TRATA DE PERSONAS, CON EL FIN DE FORTALECER LAS CAPACIDADES INSTITUCIONALES DEL MP, INACIF Y LA DEIC, EN LOS DEPARTAMENTOS DE INTERVENCIÓN</t>
  </si>
  <si>
    <t>PQ 3.3.1.4</t>
  </si>
  <si>
    <t>Fortalecimiento al Instituto de la Defensa Pública Penal en la gestión penal por audiencias y la coordinación con otras entidades del sector justicia para reducir la mora judicial en casos de VcM.</t>
  </si>
  <si>
    <t>Equipo de cómputo (Ver detalle matriz MINGOB) + ajuste PREVI</t>
  </si>
  <si>
    <t>PQ 3.2.1.1
Revisión y readecuación del proceso de investigación criminal de delitos contra la mujer en las áreas de cobertura del Programa. (MP, PNC-DEIC-OTROS).</t>
  </si>
  <si>
    <t xml:space="preserve">PQ 3.2.1.1
Revisión y readecuación del proceso de investigación criminal de delitos contra la mujer en las áreas de cobertura del Programa. </t>
  </si>
  <si>
    <t>Dotación de mobiliario y equipo a otras entidades que ejercen funciones de investigación criminal</t>
  </si>
  <si>
    <t>Apoyar los procesos de actualización de hardware y software de las entidades e instituciones que ejercen funciones de investigación criminal en el área de intervención, para mejorar los tiempos de respuesta en casos de VcM.</t>
  </si>
  <si>
    <r>
      <t xml:space="preserve">ASISTENCIA PROFESIONAL PARA IMPLEMENTAR EL MODELO ESTRATÉGICO DE PREVENCIÓN DE LA VIOLENCIA CONTRA LAS MUJERES, NIÑEZ Y ADOLESCENCIA </t>
    </r>
    <r>
      <rPr>
        <sz val="11"/>
        <color theme="1"/>
        <rFont val="Calibri Light"/>
        <family val="1"/>
        <scheme val="major"/>
      </rPr>
      <t xml:space="preserve">DEL PROGRAMA PREVI, ASÍ COMO </t>
    </r>
    <r>
      <rPr>
        <sz val="11"/>
        <color theme="1"/>
        <rFont val="Calibri Light"/>
        <family val="1"/>
        <scheme val="major"/>
      </rPr>
      <t xml:space="preserve">EN EL PROCESO DE CONFORMACIÓN DE COMUPRES, LA FORMULACIÓN DE POLÍTICAS MUNICIPALES Y OTRAS ACCIONES INTEGRALES </t>
    </r>
    <r>
      <rPr>
        <sz val="11"/>
        <color theme="1"/>
        <rFont val="Calibri Light"/>
        <family val="1"/>
        <scheme val="major"/>
      </rPr>
      <t>EN LOS DEPARTAMENTOS DE SUCHITEPÉQUEZ Y RETALHULEU</t>
    </r>
  </si>
  <si>
    <r>
      <t>ASISTENCIA TÉCNICA PARA CONTRIBUIR CON LA PREVENCIÓN DE LA VIOLENCIA Y EL DELITO CONTRA MUJERES, NIÑEZ Y ADOLESCENCIA EN EL DEPARTAMENTO</t>
    </r>
    <r>
      <rPr>
        <strike/>
        <sz val="11"/>
        <color theme="1"/>
        <rFont val="Calibri"/>
        <family val="2"/>
        <scheme val="minor"/>
      </rPr>
      <t>S</t>
    </r>
    <r>
      <rPr>
        <sz val="11"/>
        <color theme="1"/>
        <rFont val="Calibri"/>
        <family val="2"/>
        <scheme val="minor"/>
      </rPr>
      <t xml:space="preserve"> DE SUCHITEPÉQUEZ.</t>
    </r>
  </si>
  <si>
    <r>
      <t>ASISTENCIA TÉCNICA PARA CONTRIBUIR CON LA PREVENCIÓN DE LA VIOLENCIA Y EL DELITO CONTRA MUJERES, NIÑEZ Y ADOLESCENCIA EN EL DEPARTAMENTO</t>
    </r>
    <r>
      <rPr>
        <strike/>
        <sz val="11"/>
        <color theme="1"/>
        <rFont val="Calibri"/>
        <family val="2"/>
        <scheme val="minor"/>
      </rPr>
      <t>S</t>
    </r>
    <r>
      <rPr>
        <sz val="11"/>
        <color theme="1"/>
        <rFont val="Calibri"/>
        <family val="2"/>
        <scheme val="minor"/>
      </rPr>
      <t xml:space="preserve"> DE </t>
    </r>
    <r>
      <rPr>
        <sz val="11"/>
        <color theme="1"/>
        <rFont val="Calibri"/>
        <family val="2"/>
        <scheme val="minor"/>
      </rPr>
      <t>RETALHULEU.</t>
    </r>
  </si>
  <si>
    <t>ASISTENCIAS TÉCNICAS Y PROFESIONALES</t>
  </si>
  <si>
    <t>SEDES DEPARTAMENTALES DEL PROGRAMA</t>
  </si>
  <si>
    <t>ELB</t>
  </si>
  <si>
    <t xml:space="preserve">ESCUINTLA </t>
  </si>
  <si>
    <t>INV. CRIMINAL</t>
  </si>
  <si>
    <t>3 DEPTOS</t>
  </si>
  <si>
    <t>GPA</t>
  </si>
  <si>
    <t>Oficinas de Atención a la Víctima -OAV- y otras dependencias de la PNC fortalecidas en la infraestructura física y tecnológica para brindar atención oportuna a las mujeres victimas de violencia.</t>
  </si>
  <si>
    <t>1311-A3 UPCV</t>
  </si>
  <si>
    <t>AP de planificación, monitoreo y evaluación del programa</t>
  </si>
  <si>
    <t xml:space="preserve">AT de planificación, monitoreo y evaluación del Programa </t>
  </si>
  <si>
    <t>1312-A2 SBD PNC</t>
  </si>
  <si>
    <t>2112-A9 SIMS</t>
  </si>
  <si>
    <t>3211-A3 INVESTIGACIÓN CRIMINAL</t>
  </si>
  <si>
    <t>Cuarto desembolso</t>
  </si>
  <si>
    <r>
      <t xml:space="preserve">SUB-TOTAL ESTIMADO </t>
    </r>
    <r>
      <rPr>
        <b/>
        <sz val="9"/>
        <color theme="1"/>
        <rFont val="Calibri"/>
        <family val="2"/>
        <scheme val="minor"/>
      </rPr>
      <t>(primeros 3 desembolsos)</t>
    </r>
  </si>
  <si>
    <t>TIPO DE CAMBIO</t>
  </si>
  <si>
    <t>TOTAL ESTIMADO</t>
  </si>
  <si>
    <t>TERCERO Y CUARTO DESEMBOLSO PROYECTADO</t>
  </si>
  <si>
    <t xml:space="preserve">PQ. 2.1.1.2
Sistema Integral de Medidas de Seguridad -SIMS-
</t>
  </si>
  <si>
    <t>PQ. 2.1.2.2
Sistema Integral de Medidas de Protección -SIMP-</t>
  </si>
  <si>
    <t>TOTAL SIN SALDO DEL COMPONENTE 2</t>
  </si>
  <si>
    <t>E. 4.1.2 Equipamiento</t>
  </si>
  <si>
    <t>4.1.2.1
Mobiliario y equipo de las Sedes</t>
  </si>
  <si>
    <r>
      <t xml:space="preserve">E </t>
    </r>
    <r>
      <rPr>
        <b/>
        <strike/>
        <sz val="14"/>
        <rFont val="Calibri"/>
        <family val="2"/>
        <scheme val="minor"/>
      </rPr>
      <t>4.</t>
    </r>
    <r>
      <rPr>
        <b/>
        <sz val="14"/>
        <rFont val="Calibri"/>
        <family val="2"/>
        <scheme val="minor"/>
      </rPr>
      <t>1.2  EQUIPAMIENTO</t>
    </r>
  </si>
  <si>
    <t>PQ 4.1.2.1
Mobiliario y equipo de las Sedes</t>
  </si>
  <si>
    <t>DESCRIPCIÓN</t>
  </si>
  <si>
    <t>Institución beneficiaria</t>
  </si>
  <si>
    <t>Secretaría Ejecutiva de la Instancia Coordinadora de la Modernización del Sector Justicia</t>
  </si>
  <si>
    <t>Nombre del Programa</t>
  </si>
  <si>
    <t>Prevención de la violencia y el delito contra mujeres, niñez y adolescencia</t>
  </si>
  <si>
    <t xml:space="preserve">No. De Expediente </t>
  </si>
  <si>
    <t xml:space="preserve">2018/SPE/0000400000 </t>
  </si>
  <si>
    <t xml:space="preserve">Año Presupuesto </t>
  </si>
  <si>
    <t>Fecha de Recepción de fondos  (INICIO)</t>
  </si>
  <si>
    <t xml:space="preserve">Importe Partida Presupuestaria 796.00 (Inversión) </t>
  </si>
  <si>
    <t xml:space="preserve">Importe Partida Presupuestaria 496.04 (Gasto) </t>
  </si>
  <si>
    <t xml:space="preserve">Tipo de Cambio de Euro a Dólar </t>
  </si>
  <si>
    <t xml:space="preserve">Tipo de Cambio de Dólar a Quetzal </t>
  </si>
  <si>
    <t xml:space="preserve">Fecha: </t>
  </si>
  <si>
    <t>Fecha de Finalización primera etapa</t>
  </si>
  <si>
    <t>Fecha de Finalización etapa de prórroga</t>
  </si>
  <si>
    <t>POM 2021-2022 V1</t>
  </si>
  <si>
    <t>Plan Operativo Multianual -POM-</t>
  </si>
  <si>
    <t>Guatemala, febrero de 2021</t>
  </si>
  <si>
    <t>Desembolsos</t>
  </si>
  <si>
    <t>Total Desembolsos</t>
  </si>
  <si>
    <t>Primer Desembolso (saldo)</t>
  </si>
  <si>
    <t>Segundo Desembolso</t>
  </si>
  <si>
    <t>Período de Ejecución (meses)</t>
  </si>
  <si>
    <t>Resultado 1: Prevención de la violencia contra mujeres, niños, niñas y adolescentes</t>
  </si>
  <si>
    <t>Resultado intermedio 1.1.  Fortalecidos los sistemas y estrategias de prevención de la violencia contra las mujeres, niñas, niños y adolescentes en el área de intervención del Programa</t>
  </si>
  <si>
    <t>Entregable E.1.1.2   Creación de alianzas a nivel departamental, municipal y comunitario  para el fortalecimiento de las instancias de participación ciudadana e institucional.</t>
  </si>
  <si>
    <t>Entregable E.1.1.3   Diseño de políticas y planes comunitarios participativos</t>
  </si>
  <si>
    <t>Resultado intermedio 1.2.  Diseño e implementación de medidas de prevención de la violencia dirigidas a mujeres, niñas, niños y adolescentes</t>
  </si>
  <si>
    <t xml:space="preserve">Entregable E.1.2.1  Implementación de medidas de prevención que contribuyan a disminuir la violencia contra las mujeres. </t>
  </si>
  <si>
    <t>Resultado intermedio 1.3.  Fortalecimiento de las instituciones de prevención de la violencia con  enfoque de género, etario, multiculturalidad y de DDHH</t>
  </si>
  <si>
    <t>Entregable E.1.3.1  Fortalecimiento de las instituciones nacionales encargadas de la prevención de la violencia</t>
  </si>
  <si>
    <t>Entregable E.1.3.2  Fortalecimiento de las instituciones locales vinculadas a la prevención de la violencia</t>
  </si>
  <si>
    <t>RESULTADO DE DESARROLLO 2: Incrementada la eficacia de la asistencia a mujeres, niñas, niños y adolescentes víctimas de violencia en el área de intervención del programa.</t>
  </si>
  <si>
    <t xml:space="preserve">Resultado intermedio 2.1.  Modelos interinstitucionales implementados para garantizar medidas de protección jurídica e integral a mujeres, niñez y adolescencia víctima de violencia </t>
  </si>
  <si>
    <t>Entregable E.2.1.1 Implementación de un sistema interinstitucional para la aplicación de Medidas de Seguridad a mujeres víctimas de Violencia</t>
  </si>
  <si>
    <t>Entregable E.2.1.2  Implementación de un sistema de medidas de protección integral a niños, niñas y adolescentes víctimas de violencia</t>
  </si>
  <si>
    <t>Resultado intermedio 2.2.  Mejora del sistema de atención inmediata a mujer, niñez y adolescencia víctima de violencia por parte de las instituciones del sector Justicia y Seguridad.</t>
  </si>
  <si>
    <t xml:space="preserve">Entregable E.2.2.1 Implementación de un modelo de atención inmediata a mujeres, niños/as y adolescencia víctimas de violencia contra la mujer, delitos sexuales y trata </t>
  </si>
  <si>
    <t>Entregable E.2.2.2 Implementación de un modelo de atención inmediata por parte de las instituciones de justicia y seguridad con enfoque de género, multicultural y de DDHH a niñas, niños y adolescentes víctimas</t>
  </si>
  <si>
    <t>RESULTADO DE DESARROLLO 3: Incrementada la eficacia de la respuesta del sistema de justicia a los delitos cometidos contra las mujeres, niñas, niños y adolescentes en el área de intervención del programa.</t>
  </si>
  <si>
    <t>Resultado intermedio 3.1. Promoción de la denuncia y reacción inmediata en delitos contra las mujeres, niñas, niños y adolescentes</t>
  </si>
  <si>
    <t>Entregable E.3.1.1 Apoyo a los procesos de reacción urgente en delitos de desaparición de mujeres, niñas, niños y adolescentes</t>
  </si>
  <si>
    <t>Entregable E.3.2.1 Fortalecimiento de las unidades responsables de la investigación con perspectiva de género, multicultural y etaria</t>
  </si>
  <si>
    <t>Resultado intermedio 3.3. Mejora de la respuesta del sistema de justicia ante delitos contra la mujer, la niñez y la adolescencia</t>
  </si>
  <si>
    <t xml:space="preserve">Entregable E.3.3.1. Fortalecimiento de los procesos judiciales de mujeres, niñez y adolescencia víctimas de violencia contra las mujeres, delitos sexuales, explotación y trata. </t>
  </si>
  <si>
    <t>Msc. Héctor Aníbal de León Polanco</t>
  </si>
  <si>
    <t>Sr. Miguel González Gullón</t>
  </si>
  <si>
    <t>Secretario Ejecutivo de la Instancia Coordinadora de Modernización del Sector Justicia</t>
  </si>
  <si>
    <t>Coordinador General de  Cooperación Embajada de España en Guatemala</t>
  </si>
  <si>
    <r>
      <rPr>
        <b/>
        <sz val="11"/>
        <color theme="0"/>
        <rFont val="Calibri"/>
        <family val="2"/>
        <scheme val="minor"/>
      </rPr>
      <t>No. De Donación</t>
    </r>
    <r>
      <rPr>
        <sz val="11"/>
        <color theme="0"/>
        <rFont val="Calibri"/>
        <family val="2"/>
        <scheme val="minor"/>
      </rPr>
      <t>: 2018/SPE/0000400000</t>
    </r>
  </si>
  <si>
    <t>E 4.1.2  EQUIPAMIENTO</t>
  </si>
  <si>
    <t>1° DESEMBOLSO</t>
  </si>
  <si>
    <t xml:space="preserve">2° DESEMBOLSO </t>
  </si>
  <si>
    <t>* Tasa Proyectada</t>
  </si>
  <si>
    <t>Tipo de Cambio promedio*</t>
  </si>
  <si>
    <r>
      <t>3 y 4 DESEMBOLSO</t>
    </r>
    <r>
      <rPr>
        <sz val="11"/>
        <color rgb="FFFF0000"/>
        <rFont val="Calibri"/>
        <family val="2"/>
        <scheme val="minor"/>
      </rPr>
      <t>*</t>
    </r>
  </si>
  <si>
    <r>
      <rPr>
        <sz val="12"/>
        <color rgb="FFFF0000"/>
        <rFont val="Calibri"/>
        <family val="2"/>
        <scheme val="minor"/>
      </rPr>
      <t>32</t>
    </r>
    <r>
      <rPr>
        <sz val="12"/>
        <rFont val="Calibri"/>
        <family val="2"/>
        <scheme val="minor"/>
      </rPr>
      <t xml:space="preserve"> meses, primera etapa y 24 meses segunda etapa (prórroga)</t>
    </r>
  </si>
  <si>
    <t>TOTALES</t>
  </si>
  <si>
    <t>Tipo de Cambio Euro a Quetzal</t>
  </si>
  <si>
    <t>Reuniones de coordinación y/o fortalecimiento de capacidades técnicas del personal de UPCV para mejorar sus intervenciones en la prevención de la VcM, NNA.</t>
  </si>
  <si>
    <t>AP Monitoreo y evaluación del Programa PREVI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</si>
</sst>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44" formatCode="_(&quot;Q&quot;* #,##0.00_);_(&quot;Q&quot;* \(#,##0.00\);_(&quot;Q&quot;* &quot;-&quot;??_);_(@_)"/>
    <numFmt numFmtId="43" formatCode="_(* #,##0.00_);_(* \(#,##0.00\);_(* &quot;-&quot;??_);_(@_)"/>
    <numFmt numFmtId="164" formatCode="&quot;Q&quot;#,##0.00;[Red]\-&quot;Q&quot;#,##0.00"/>
    <numFmt numFmtId="165" formatCode="_-&quot;Q&quot;* #,##0.00_-;\-&quot;Q&quot;* #,##0.00_-;_-&quot;Q&quot;* &quot;-&quot;??_-;_-@_-"/>
    <numFmt numFmtId="166" formatCode="_-* #,##0.00_-;\-* #,##0.00_-;_-* &quot;-&quot;??_-;_-@_-"/>
    <numFmt numFmtId="167" formatCode="_-* #,##0.00\ [$€-C0A]_-;\-* #,##0.00\ [$€-C0A]_-;_-* &quot;-&quot;??\ [$€-C0A]_-;_-@_-"/>
    <numFmt numFmtId="168" formatCode="0.0000000"/>
    <numFmt numFmtId="169" formatCode="_-* #,##0.000_-;\-* #,##0.000_-;_-* &quot;-&quot;??_-;_-@_-"/>
    <numFmt numFmtId="170" formatCode="_-* #,##0.0000_-;\-* #,##0.0000_-;_-* &quot;-&quot;??_-;_-@_-"/>
    <numFmt numFmtId="171" formatCode="0.0%"/>
    <numFmt numFmtId="172" formatCode="_-[$Q-100A]* #,##0.00_-;\-[$Q-100A]* #,##0.00_-;_-[$Q-100A]* &quot;-&quot;??_-;_-@_-"/>
    <numFmt numFmtId="173" formatCode="_-* #,##0.0000000_-;\-* #,##0.0000000_-;_-* &quot;-&quot;??_-;_-@_-"/>
    <numFmt numFmtId="174" formatCode="#,##0.00\ [$€-40A]"/>
    <numFmt numFmtId="175" formatCode="dd/mm/yyyy;@"/>
    <numFmt numFmtId="176" formatCode="#,##0.00\ [$€-1]"/>
    <numFmt numFmtId="177" formatCode="#,##0.0000"/>
    <numFmt numFmtId="178" formatCode="0.000"/>
  </numFmts>
  <fonts count="66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Arial"/>
      <family val="2"/>
    </font>
    <font>
      <sz val="11"/>
      <name val="Candara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2"/>
      <color rgb="FFFF3399"/>
      <name val="Calibri"/>
      <family val="2"/>
      <scheme val="minor"/>
    </font>
    <font>
      <b/>
      <sz val="12"/>
      <color rgb="FF00B050"/>
      <name val="Calibri"/>
      <family val="2"/>
      <scheme val="minor"/>
    </font>
    <font>
      <b/>
      <sz val="12"/>
      <color rgb="FFFF99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rgb="FF0000CC"/>
      <name val="Arial"/>
      <family val="2"/>
    </font>
    <font>
      <b/>
      <sz val="18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2"/>
      <color theme="0"/>
      <name val="Calibri"/>
      <family val="2"/>
      <scheme val="minor"/>
    </font>
    <font>
      <u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u/>
      <sz val="12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trike/>
      <sz val="14"/>
      <name val="Calibri"/>
      <family val="2"/>
      <scheme val="minor"/>
    </font>
    <font>
      <sz val="11"/>
      <color rgb="FF000000"/>
      <name val="Candara"/>
      <family val="2"/>
    </font>
    <font>
      <b/>
      <sz val="18"/>
      <color rgb="FF0000CC"/>
      <name val="Calibri"/>
      <family val="2"/>
      <scheme val="minor"/>
    </font>
    <font>
      <sz val="11"/>
      <color rgb="FF00B050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u/>
      <sz val="12"/>
      <name val="Calibri"/>
      <family val="2"/>
      <scheme val="minor"/>
    </font>
    <font>
      <b/>
      <u/>
      <sz val="11"/>
      <color theme="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sz val="16"/>
      <name val="Calibri"/>
      <family val="2"/>
      <scheme val="minor"/>
    </font>
    <font>
      <sz val="16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trike/>
      <sz val="11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11"/>
      <color rgb="FF002060"/>
      <name val="Calibri"/>
      <family val="2"/>
      <scheme val="minor"/>
    </font>
    <font>
      <sz val="11"/>
      <color rgb="FF0000CC"/>
      <name val="Calibri"/>
      <family val="2"/>
      <scheme val="minor"/>
    </font>
    <font>
      <b/>
      <sz val="11"/>
      <color rgb="FF0000CC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rgb="FFBC00BC"/>
      <name val="Calibri"/>
      <family val="2"/>
      <scheme val="minor"/>
    </font>
    <font>
      <sz val="11"/>
      <color rgb="FF00B0F0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rgb="FF0000CC"/>
      <name val="Candara"/>
      <family val="2"/>
    </font>
    <font>
      <u/>
      <sz val="11"/>
      <name val="Candara"/>
      <family val="2"/>
    </font>
    <font>
      <b/>
      <sz val="14"/>
      <color rgb="FFFFFF00"/>
      <name val="Calibri"/>
      <family val="2"/>
      <scheme val="minor"/>
    </font>
    <font>
      <b/>
      <sz val="11"/>
      <color rgb="FFFF9900"/>
      <name val="Calibri"/>
      <family val="2"/>
      <scheme val="minor"/>
    </font>
    <font>
      <sz val="11"/>
      <color theme="1"/>
      <name val="Calibri Light"/>
      <family val="1"/>
      <scheme val="major"/>
    </font>
    <font>
      <strike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4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000058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420042"/>
        <bgColor indexed="64"/>
      </patternFill>
    </fill>
    <fill>
      <patternFill patternType="solid">
        <fgColor rgb="FFD9B3FF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660066"/>
        <bgColor indexed="64"/>
      </patternFill>
    </fill>
    <fill>
      <patternFill patternType="solid">
        <fgColor rgb="FFCAAF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2E5FF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/>
      <right style="thin">
        <color indexed="64"/>
      </right>
      <top/>
      <bottom style="thin">
        <color theme="0"/>
      </bottom>
      <diagonal/>
    </border>
    <border>
      <left style="thin">
        <color indexed="64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0" fontId="3" fillId="0" borderId="0"/>
    <xf numFmtId="166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</cellStyleXfs>
  <cellXfs count="1276">
    <xf numFmtId="0" fontId="0" fillId="0" borderId="0" xfId="0"/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/>
    </xf>
    <xf numFmtId="49" fontId="4" fillId="0" borderId="1" xfId="1" applyNumberFormat="1" applyFont="1" applyBorder="1" applyAlignment="1">
      <alignment horizontal="center" vertical="center" wrapText="1"/>
    </xf>
    <xf numFmtId="0" fontId="4" fillId="0" borderId="1" xfId="1" applyFont="1" applyBorder="1" applyAlignment="1">
      <alignment horizontal="left" vertical="center" wrapText="1"/>
    </xf>
    <xf numFmtId="0" fontId="0" fillId="2" borderId="0" xfId="0" applyFill="1" applyAlignment="1">
      <alignment vertical="center"/>
    </xf>
    <xf numFmtId="0" fontId="0" fillId="2" borderId="0" xfId="0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166" fontId="0" fillId="2" borderId="0" xfId="0" applyNumberFormat="1" applyFill="1" applyAlignment="1">
      <alignment vertical="center"/>
    </xf>
    <xf numFmtId="17" fontId="18" fillId="8" borderId="1" xfId="0" applyNumberFormat="1" applyFont="1" applyFill="1" applyBorder="1" applyAlignment="1">
      <alignment horizontal="center" vertical="center" wrapText="1"/>
    </xf>
    <xf numFmtId="166" fontId="8" fillId="8" borderId="1" xfId="2" applyFont="1" applyFill="1" applyBorder="1" applyAlignment="1">
      <alignment vertical="center"/>
    </xf>
    <xf numFmtId="166" fontId="18" fillId="10" borderId="1" xfId="2" applyFont="1" applyFill="1" applyBorder="1" applyAlignment="1">
      <alignment horizontal="center" vertical="center"/>
    </xf>
    <xf numFmtId="166" fontId="18" fillId="11" borderId="1" xfId="2" applyFont="1" applyFill="1" applyBorder="1" applyAlignment="1">
      <alignment horizontal="center" vertical="center"/>
    </xf>
    <xf numFmtId="165" fontId="1" fillId="3" borderId="1" xfId="2" applyNumberFormat="1" applyFont="1" applyFill="1" applyBorder="1" applyAlignment="1">
      <alignment vertical="center"/>
    </xf>
    <xf numFmtId="165" fontId="1" fillId="12" borderId="1" xfId="2" applyNumberFormat="1" applyFont="1" applyFill="1" applyBorder="1" applyAlignment="1">
      <alignment vertical="center"/>
    </xf>
    <xf numFmtId="49" fontId="1" fillId="0" borderId="1" xfId="2" applyNumberFormat="1" applyFont="1" applyFill="1" applyBorder="1" applyAlignment="1">
      <alignment horizontal="center" vertical="center"/>
    </xf>
    <xf numFmtId="166" fontId="18" fillId="8" borderId="1" xfId="2" applyFont="1" applyFill="1" applyBorder="1" applyAlignment="1">
      <alignment horizontal="center" vertical="center"/>
    </xf>
    <xf numFmtId="166" fontId="8" fillId="8" borderId="1" xfId="2" applyFont="1" applyFill="1" applyBorder="1" applyAlignment="1">
      <alignment horizontal="center" vertical="center"/>
    </xf>
    <xf numFmtId="166" fontId="15" fillId="10" borderId="1" xfId="2" applyFont="1" applyFill="1" applyBorder="1" applyAlignment="1">
      <alignment horizontal="center" vertical="center"/>
    </xf>
    <xf numFmtId="166" fontId="15" fillId="11" borderId="1" xfId="2" applyFont="1" applyFill="1" applyBorder="1" applyAlignment="1">
      <alignment horizontal="center" vertical="center"/>
    </xf>
    <xf numFmtId="164" fontId="19" fillId="0" borderId="0" xfId="0" applyNumberFormat="1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2" borderId="0" xfId="0" applyFill="1" applyAlignment="1">
      <alignment vertical="center" wrapText="1"/>
    </xf>
    <xf numFmtId="49" fontId="0" fillId="2" borderId="0" xfId="0" applyNumberFormat="1" applyFill="1" applyAlignment="1">
      <alignment horizontal="center" vertical="center"/>
    </xf>
    <xf numFmtId="49" fontId="21" fillId="2" borderId="0" xfId="0" applyNumberFormat="1" applyFont="1" applyFill="1" applyAlignment="1">
      <alignment horizontal="center" vertical="center"/>
    </xf>
    <xf numFmtId="0" fontId="21" fillId="2" borderId="0" xfId="0" applyFont="1" applyFill="1" applyAlignment="1">
      <alignment horizontal="left" vertical="center"/>
    </xf>
    <xf numFmtId="0" fontId="16" fillId="4" borderId="1" xfId="0" applyFont="1" applyFill="1" applyBorder="1" applyAlignment="1">
      <alignment vertical="center"/>
    </xf>
    <xf numFmtId="0" fontId="16" fillId="4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166" fontId="18" fillId="14" borderId="1" xfId="2" applyFont="1" applyFill="1" applyBorder="1" applyAlignment="1">
      <alignment horizontal="center" vertical="center"/>
    </xf>
    <xf numFmtId="166" fontId="1" fillId="0" borderId="1" xfId="2" applyFont="1" applyFill="1" applyBorder="1" applyAlignment="1">
      <alignment horizontal="center" vertical="center"/>
    </xf>
    <xf numFmtId="166" fontId="18" fillId="10" borderId="1" xfId="2" applyFont="1" applyFill="1" applyBorder="1" applyAlignment="1">
      <alignment horizontal="left" vertical="center"/>
    </xf>
    <xf numFmtId="0" fontId="0" fillId="8" borderId="1" xfId="0" applyFill="1" applyBorder="1" applyAlignment="1">
      <alignment horizontal="center"/>
    </xf>
    <xf numFmtId="0" fontId="0" fillId="0" borderId="1" xfId="0" applyBorder="1" applyAlignment="1">
      <alignment horizontal="left" vertical="center"/>
    </xf>
    <xf numFmtId="0" fontId="0" fillId="14" borderId="1" xfId="0" applyFill="1" applyBorder="1" applyAlignment="1">
      <alignment horizontal="center"/>
    </xf>
    <xf numFmtId="0" fontId="0" fillId="0" borderId="1" xfId="0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20" fillId="2" borderId="0" xfId="0" applyFont="1" applyFill="1" applyAlignment="1">
      <alignment horizontal="left" vertical="center"/>
    </xf>
    <xf numFmtId="0" fontId="16" fillId="4" borderId="1" xfId="0" applyFont="1" applyFill="1" applyBorder="1" applyAlignment="1">
      <alignment horizontal="left" vertical="center"/>
    </xf>
    <xf numFmtId="0" fontId="0" fillId="14" borderId="1" xfId="0" applyFill="1" applyBorder="1" applyAlignment="1">
      <alignment horizontal="left"/>
    </xf>
    <xf numFmtId="0" fontId="0" fillId="0" borderId="0" xfId="0" applyAlignment="1">
      <alignment horizontal="left"/>
    </xf>
    <xf numFmtId="166" fontId="18" fillId="12" borderId="1" xfId="2" applyFont="1" applyFill="1" applyBorder="1" applyAlignment="1">
      <alignment horizontal="center" vertical="center"/>
    </xf>
    <xf numFmtId="166" fontId="18" fillId="12" borderId="1" xfId="2" applyFont="1" applyFill="1" applyBorder="1" applyAlignment="1">
      <alignment vertical="center"/>
    </xf>
    <xf numFmtId="0" fontId="0" fillId="0" borderId="1" xfId="0" applyBorder="1" applyAlignment="1">
      <alignment horizontal="left"/>
    </xf>
    <xf numFmtId="0" fontId="6" fillId="2" borderId="0" xfId="0" applyFont="1" applyFill="1" applyAlignment="1">
      <alignment vertical="center"/>
    </xf>
    <xf numFmtId="165" fontId="6" fillId="8" borderId="1" xfId="2" applyNumberFormat="1" applyFont="1" applyFill="1" applyBorder="1" applyAlignment="1">
      <alignment vertical="center"/>
    </xf>
    <xf numFmtId="165" fontId="18" fillId="3" borderId="1" xfId="2" applyNumberFormat="1" applyFont="1" applyFill="1" applyBorder="1" applyAlignment="1">
      <alignment vertical="center"/>
    </xf>
    <xf numFmtId="0" fontId="18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49" fontId="0" fillId="0" borderId="1" xfId="0" applyNumberFormat="1" applyFont="1" applyFill="1" applyBorder="1" applyAlignment="1">
      <alignment horizontal="center" vertical="center"/>
    </xf>
    <xf numFmtId="165" fontId="1" fillId="0" borderId="1" xfId="2" applyNumberFormat="1" applyFont="1" applyFill="1" applyBorder="1" applyAlignment="1">
      <alignment horizontal="center" vertical="center"/>
    </xf>
    <xf numFmtId="0" fontId="0" fillId="0" borderId="0" xfId="0" applyFont="1"/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 wrapText="1"/>
    </xf>
    <xf numFmtId="165" fontId="8" fillId="8" borderId="1" xfId="2" applyNumberFormat="1" applyFont="1" applyFill="1" applyBorder="1" applyAlignment="1">
      <alignment vertical="center"/>
    </xf>
    <xf numFmtId="165" fontId="18" fillId="0" borderId="1" xfId="2" applyNumberFormat="1" applyFont="1" applyFill="1" applyBorder="1" applyAlignment="1">
      <alignment horizontal="center" vertical="center"/>
    </xf>
    <xf numFmtId="0" fontId="7" fillId="0" borderId="0" xfId="0" applyFont="1"/>
    <xf numFmtId="165" fontId="5" fillId="8" borderId="1" xfId="2" applyNumberFormat="1" applyFont="1" applyFill="1" applyBorder="1" applyAlignment="1">
      <alignment horizontal="center" vertical="center"/>
    </xf>
    <xf numFmtId="165" fontId="18" fillId="10" borderId="1" xfId="2" applyNumberFormat="1" applyFont="1" applyFill="1" applyBorder="1" applyAlignment="1">
      <alignment horizontal="center" vertical="center"/>
    </xf>
    <xf numFmtId="165" fontId="18" fillId="14" borderId="1" xfId="2" applyNumberFormat="1" applyFont="1" applyFill="1" applyBorder="1" applyAlignment="1">
      <alignment horizontal="center" vertical="center"/>
    </xf>
    <xf numFmtId="165" fontId="18" fillId="11" borderId="1" xfId="2" applyNumberFormat="1" applyFont="1" applyFill="1" applyBorder="1" applyAlignment="1">
      <alignment horizontal="center" vertical="center"/>
    </xf>
    <xf numFmtId="165" fontId="18" fillId="12" borderId="1" xfId="2" applyNumberFormat="1" applyFont="1" applyFill="1" applyBorder="1" applyAlignment="1">
      <alignment horizontal="center" vertical="center"/>
    </xf>
    <xf numFmtId="165" fontId="5" fillId="0" borderId="1" xfId="2" applyNumberFormat="1" applyFont="1" applyBorder="1" applyAlignment="1">
      <alignment horizontal="center" vertical="center"/>
    </xf>
    <xf numFmtId="165" fontId="18" fillId="5" borderId="1" xfId="2" applyNumberFormat="1" applyFont="1" applyFill="1" applyBorder="1" applyAlignment="1">
      <alignment vertical="center"/>
    </xf>
    <xf numFmtId="165" fontId="18" fillId="8" borderId="1" xfId="2" applyNumberFormat="1" applyFont="1" applyFill="1" applyBorder="1" applyAlignment="1">
      <alignment horizontal="center" vertical="center"/>
    </xf>
    <xf numFmtId="165" fontId="1" fillId="0" borderId="1" xfId="2" applyNumberFormat="1" applyFont="1" applyBorder="1" applyAlignment="1">
      <alignment horizontal="center" vertical="center"/>
    </xf>
    <xf numFmtId="165" fontId="7" fillId="8" borderId="1" xfId="2" applyNumberFormat="1" applyFont="1" applyFill="1" applyBorder="1" applyAlignment="1">
      <alignment horizontal="center" vertical="center"/>
    </xf>
    <xf numFmtId="165" fontId="0" fillId="0" borderId="1" xfId="0" applyNumberFormat="1" applyBorder="1" applyAlignment="1">
      <alignment vertical="center"/>
    </xf>
    <xf numFmtId="165" fontId="0" fillId="12" borderId="1" xfId="0" applyNumberFormat="1" applyFont="1" applyFill="1" applyBorder="1"/>
    <xf numFmtId="165" fontId="1" fillId="12" borderId="1" xfId="2" applyNumberFormat="1" applyFont="1" applyFill="1" applyBorder="1" applyAlignment="1">
      <alignment horizontal="center" vertical="center"/>
    </xf>
    <xf numFmtId="165" fontId="5" fillId="0" borderId="1" xfId="2" applyNumberFormat="1" applyFont="1" applyFill="1" applyBorder="1" applyAlignment="1">
      <alignment horizontal="center" vertical="center"/>
    </xf>
    <xf numFmtId="165" fontId="1" fillId="5" borderId="1" xfId="2" applyNumberFormat="1" applyFont="1" applyFill="1" applyBorder="1" applyAlignment="1">
      <alignment vertical="center"/>
    </xf>
    <xf numFmtId="165" fontId="1" fillId="5" borderId="1" xfId="2" applyNumberFormat="1" applyFont="1" applyFill="1" applyBorder="1" applyAlignment="1">
      <alignment horizontal="center" vertical="center"/>
    </xf>
    <xf numFmtId="166" fontId="0" fillId="0" borderId="0" xfId="2" applyFont="1" applyAlignment="1">
      <alignment vertical="center"/>
    </xf>
    <xf numFmtId="0" fontId="14" fillId="3" borderId="7" xfId="0" applyFont="1" applyFill="1" applyBorder="1" applyAlignment="1">
      <alignment horizontal="center" vertical="center" wrapText="1"/>
    </xf>
    <xf numFmtId="49" fontId="23" fillId="3" borderId="2" xfId="0" applyNumberFormat="1" applyFont="1" applyFill="1" applyBorder="1" applyAlignment="1">
      <alignment horizontal="center" vertical="center" wrapText="1"/>
    </xf>
    <xf numFmtId="166" fontId="24" fillId="9" borderId="1" xfId="2" applyFont="1" applyFill="1" applyBorder="1" applyAlignment="1">
      <alignment horizontal="center" vertical="center"/>
    </xf>
    <xf numFmtId="166" fontId="24" fillId="9" borderId="1" xfId="2" applyFont="1" applyFill="1" applyBorder="1" applyAlignment="1">
      <alignment vertical="center"/>
    </xf>
    <xf numFmtId="0" fontId="25" fillId="0" borderId="0" xfId="0" applyFont="1"/>
    <xf numFmtId="0" fontId="7" fillId="8" borderId="1" xfId="0" applyFont="1" applyFill="1" applyBorder="1" applyAlignment="1">
      <alignment horizontal="center"/>
    </xf>
    <xf numFmtId="165" fontId="18" fillId="8" borderId="1" xfId="2" applyNumberFormat="1" applyFont="1" applyFill="1" applyBorder="1" applyAlignment="1">
      <alignment vertical="center"/>
    </xf>
    <xf numFmtId="49" fontId="18" fillId="8" borderId="1" xfId="2" applyNumberFormat="1" applyFont="1" applyFill="1" applyBorder="1" applyAlignment="1">
      <alignment horizontal="center" vertical="center"/>
    </xf>
    <xf numFmtId="165" fontId="5" fillId="8" borderId="8" xfId="2" applyNumberFormat="1" applyFont="1" applyFill="1" applyBorder="1" applyAlignment="1">
      <alignment horizontal="center" vertical="center"/>
    </xf>
    <xf numFmtId="165" fontId="18" fillId="10" borderId="8" xfId="2" applyNumberFormat="1" applyFont="1" applyFill="1" applyBorder="1" applyAlignment="1">
      <alignment horizontal="center" vertical="center"/>
    </xf>
    <xf numFmtId="165" fontId="18" fillId="11" borderId="8" xfId="2" applyNumberFormat="1" applyFont="1" applyFill="1" applyBorder="1" applyAlignment="1">
      <alignment horizontal="center" vertical="center"/>
    </xf>
    <xf numFmtId="165" fontId="5" fillId="0" borderId="8" xfId="2" applyNumberFormat="1" applyFont="1" applyBorder="1" applyAlignment="1">
      <alignment horizontal="center" vertical="center"/>
    </xf>
    <xf numFmtId="165" fontId="18" fillId="8" borderId="8" xfId="2" applyNumberFormat="1" applyFont="1" applyFill="1" applyBorder="1" applyAlignment="1">
      <alignment horizontal="center" vertical="center"/>
    </xf>
    <xf numFmtId="165" fontId="7" fillId="8" borderId="8" xfId="2" applyNumberFormat="1" applyFont="1" applyFill="1" applyBorder="1" applyAlignment="1">
      <alignment horizontal="center" vertical="center"/>
    </xf>
    <xf numFmtId="165" fontId="18" fillId="14" borderId="8" xfId="2" applyNumberFormat="1" applyFont="1" applyFill="1" applyBorder="1" applyAlignment="1">
      <alignment horizontal="center" vertical="center"/>
    </xf>
    <xf numFmtId="0" fontId="0" fillId="8" borderId="1" xfId="0" applyFill="1" applyBorder="1" applyAlignment="1">
      <alignment horizontal="left"/>
    </xf>
    <xf numFmtId="0" fontId="21" fillId="2" borderId="0" xfId="0" applyFont="1" applyFill="1" applyAlignment="1">
      <alignment horizontal="left" vertical="center" wrapText="1"/>
    </xf>
    <xf numFmtId="166" fontId="18" fillId="10" borderId="1" xfId="2" applyFont="1" applyFill="1" applyBorder="1" applyAlignment="1">
      <alignment horizontal="center" vertical="center" wrapText="1"/>
    </xf>
    <xf numFmtId="166" fontId="18" fillId="12" borderId="1" xfId="2" applyFont="1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14" borderId="1" xfId="0" applyFill="1" applyBorder="1" applyAlignment="1">
      <alignment wrapText="1"/>
    </xf>
    <xf numFmtId="0" fontId="0" fillId="8" borderId="1" xfId="0" applyFill="1" applyBorder="1" applyAlignment="1">
      <alignment wrapText="1"/>
    </xf>
    <xf numFmtId="0" fontId="7" fillId="8" borderId="1" xfId="0" applyFont="1" applyFill="1" applyBorder="1" applyAlignment="1">
      <alignment wrapText="1"/>
    </xf>
    <xf numFmtId="166" fontId="18" fillId="14" borderId="1" xfId="2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166" fontId="18" fillId="6" borderId="1" xfId="2" applyFont="1" applyFill="1" applyBorder="1" applyAlignment="1">
      <alignment horizontal="center" vertical="center" wrapText="1"/>
    </xf>
    <xf numFmtId="165" fontId="18" fillId="6" borderId="1" xfId="2" applyNumberFormat="1" applyFont="1" applyFill="1" applyBorder="1" applyAlignment="1">
      <alignment horizontal="center" vertical="center"/>
    </xf>
    <xf numFmtId="0" fontId="0" fillId="6" borderId="1" xfId="0" applyFill="1" applyBorder="1" applyAlignment="1">
      <alignment vertical="center" wrapText="1"/>
    </xf>
    <xf numFmtId="165" fontId="1" fillId="6" borderId="1" xfId="2" applyNumberFormat="1" applyFont="1" applyFill="1" applyBorder="1" applyAlignment="1">
      <alignment vertical="center"/>
    </xf>
    <xf numFmtId="165" fontId="5" fillId="6" borderId="1" xfId="2" applyNumberFormat="1" applyFont="1" applyFill="1" applyBorder="1" applyAlignment="1">
      <alignment horizontal="center" vertical="center"/>
    </xf>
    <xf numFmtId="49" fontId="1" fillId="6" borderId="1" xfId="2" applyNumberFormat="1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14" fillId="3" borderId="1" xfId="0" applyFont="1" applyFill="1" applyBorder="1" applyAlignment="1">
      <alignment horizontal="center" vertical="center" wrapText="1"/>
    </xf>
    <xf numFmtId="49" fontId="23" fillId="3" borderId="1" xfId="0" applyNumberFormat="1" applyFont="1" applyFill="1" applyBorder="1" applyAlignment="1">
      <alignment horizontal="center" vertical="center" wrapText="1"/>
    </xf>
    <xf numFmtId="0" fontId="23" fillId="3" borderId="1" xfId="0" applyFont="1" applyFill="1" applyBorder="1" applyAlignment="1">
      <alignment horizontal="center" vertical="center" wrapText="1"/>
    </xf>
    <xf numFmtId="17" fontId="23" fillId="8" borderId="1" xfId="0" applyNumberFormat="1" applyFont="1" applyFill="1" applyBorder="1" applyAlignment="1">
      <alignment horizontal="center" vertical="center" wrapText="1"/>
    </xf>
    <xf numFmtId="17" fontId="23" fillId="8" borderId="8" xfId="0" applyNumberFormat="1" applyFont="1" applyFill="1" applyBorder="1" applyAlignment="1">
      <alignment horizontal="center" vertical="center" wrapText="1"/>
    </xf>
    <xf numFmtId="0" fontId="17" fillId="4" borderId="1" xfId="0" applyFont="1" applyFill="1" applyBorder="1" applyAlignment="1">
      <alignment vertical="center" wrapText="1"/>
    </xf>
    <xf numFmtId="0" fontId="17" fillId="4" borderId="1" xfId="0" applyFont="1" applyFill="1" applyBorder="1" applyAlignment="1">
      <alignment horizontal="left" vertical="center"/>
    </xf>
    <xf numFmtId="166" fontId="24" fillId="9" borderId="1" xfId="2" applyFont="1" applyFill="1" applyBorder="1" applyAlignment="1">
      <alignment horizontal="left" vertical="center"/>
    </xf>
    <xf numFmtId="166" fontId="24" fillId="9" borderId="1" xfId="2" applyFont="1" applyFill="1" applyBorder="1" applyAlignment="1">
      <alignment horizontal="center" vertical="center" wrapText="1"/>
    </xf>
    <xf numFmtId="165" fontId="24" fillId="9" borderId="1" xfId="2" applyNumberFormat="1" applyFont="1" applyFill="1" applyBorder="1" applyAlignment="1">
      <alignment horizontal="center" vertical="center"/>
    </xf>
    <xf numFmtId="165" fontId="24" fillId="9" borderId="8" xfId="2" applyNumberFormat="1" applyFont="1" applyFill="1" applyBorder="1" applyAlignment="1">
      <alignment horizontal="center" vertical="center"/>
    </xf>
    <xf numFmtId="165" fontId="32" fillId="8" borderId="1" xfId="2" applyNumberFormat="1" applyFont="1" applyFill="1" applyBorder="1" applyAlignment="1">
      <alignment vertical="center"/>
    </xf>
    <xf numFmtId="165" fontId="25" fillId="8" borderId="1" xfId="2" applyNumberFormat="1" applyFont="1" applyFill="1" applyBorder="1" applyAlignment="1">
      <alignment horizontal="center" vertical="center"/>
    </xf>
    <xf numFmtId="165" fontId="24" fillId="8" borderId="1" xfId="2" applyNumberFormat="1" applyFont="1" applyFill="1" applyBorder="1" applyAlignment="1">
      <alignment vertical="center"/>
    </xf>
    <xf numFmtId="165" fontId="25" fillId="8" borderId="8" xfId="2" applyNumberFormat="1" applyFont="1" applyFill="1" applyBorder="1" applyAlignment="1">
      <alignment horizontal="center" vertical="center"/>
    </xf>
    <xf numFmtId="166" fontId="32" fillId="8" borderId="1" xfId="2" applyFont="1" applyFill="1" applyBorder="1" applyAlignment="1">
      <alignment vertical="center"/>
    </xf>
    <xf numFmtId="0" fontId="25" fillId="0" borderId="0" xfId="0" applyFont="1" applyAlignment="1">
      <alignment vertical="center"/>
    </xf>
    <xf numFmtId="165" fontId="24" fillId="7" borderId="0" xfId="2" applyNumberFormat="1" applyFont="1" applyFill="1" applyAlignment="1">
      <alignment horizontal="center" vertical="center"/>
    </xf>
    <xf numFmtId="0" fontId="14" fillId="0" borderId="0" xfId="0" applyFont="1" applyAlignment="1">
      <alignment vertical="center"/>
    </xf>
    <xf numFmtId="49" fontId="1" fillId="2" borderId="0" xfId="0" applyNumberFormat="1" applyFont="1" applyFill="1" applyAlignment="1">
      <alignment horizontal="center" vertical="center" wrapText="1"/>
    </xf>
    <xf numFmtId="0" fontId="1" fillId="2" borderId="0" xfId="0" applyFont="1" applyFill="1" applyAlignment="1">
      <alignment horizontal="left" vertical="center" wrapText="1"/>
    </xf>
    <xf numFmtId="0" fontId="8" fillId="2" borderId="0" xfId="0" applyFont="1" applyFill="1" applyAlignment="1">
      <alignment vertical="center"/>
    </xf>
    <xf numFmtId="0" fontId="20" fillId="2" borderId="0" xfId="0" applyFont="1" applyFill="1" applyAlignment="1">
      <alignment vertical="center"/>
    </xf>
    <xf numFmtId="0" fontId="33" fillId="3" borderId="7" xfId="0" applyFont="1" applyFill="1" applyBorder="1" applyAlignment="1">
      <alignment horizontal="center" vertical="center" wrapText="1"/>
    </xf>
    <xf numFmtId="49" fontId="15" fillId="3" borderId="2" xfId="0" applyNumberFormat="1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/>
    </xf>
    <xf numFmtId="0" fontId="33" fillId="3" borderId="3" xfId="0" applyFont="1" applyFill="1" applyBorder="1" applyAlignment="1">
      <alignment horizontal="center" vertical="center" wrapText="1"/>
    </xf>
    <xf numFmtId="0" fontId="33" fillId="0" borderId="0" xfId="0" applyFont="1" applyAlignment="1">
      <alignment horizontal="center" vertical="center"/>
    </xf>
    <xf numFmtId="0" fontId="17" fillId="9" borderId="1" xfId="0" applyFont="1" applyFill="1" applyBorder="1" applyAlignment="1">
      <alignment horizontal="left" vertical="center"/>
    </xf>
    <xf numFmtId="0" fontId="16" fillId="9" borderId="1" xfId="0" applyFont="1" applyFill="1" applyBorder="1" applyAlignment="1">
      <alignment horizontal="center" vertical="center"/>
    </xf>
    <xf numFmtId="0" fontId="21" fillId="9" borderId="1" xfId="0" applyFont="1" applyFill="1" applyBorder="1" applyAlignment="1">
      <alignment vertical="center"/>
    </xf>
    <xf numFmtId="0" fontId="16" fillId="9" borderId="1" xfId="0" applyFont="1" applyFill="1" applyBorder="1" applyAlignment="1">
      <alignment vertical="center" wrapText="1"/>
    </xf>
    <xf numFmtId="166" fontId="16" fillId="9" borderId="1" xfId="2" applyFont="1" applyFill="1" applyBorder="1" applyAlignment="1">
      <alignment horizontal="center" vertical="center"/>
    </xf>
    <xf numFmtId="166" fontId="6" fillId="9" borderId="1" xfId="2" applyFont="1" applyFill="1" applyBorder="1" applyAlignment="1">
      <alignment vertical="center"/>
    </xf>
    <xf numFmtId="0" fontId="0" fillId="8" borderId="1" xfId="0" applyFill="1" applyBorder="1" applyAlignment="1">
      <alignment vertical="center" wrapText="1"/>
    </xf>
    <xf numFmtId="166" fontId="5" fillId="8" borderId="1" xfId="2" applyFont="1" applyFill="1" applyBorder="1" applyAlignment="1">
      <alignment horizontal="center" vertical="center"/>
    </xf>
    <xf numFmtId="0" fontId="18" fillId="10" borderId="1" xfId="0" applyFont="1" applyFill="1" applyBorder="1" applyAlignment="1">
      <alignment vertical="center" wrapText="1"/>
    </xf>
    <xf numFmtId="0" fontId="15" fillId="11" borderId="1" xfId="0" applyFont="1" applyFill="1" applyBorder="1" applyAlignment="1">
      <alignment horizontal="left" vertical="center" wrapText="1"/>
    </xf>
    <xf numFmtId="0" fontId="18" fillId="14" borderId="1" xfId="0" applyFont="1" applyFill="1" applyBorder="1" applyAlignment="1">
      <alignment vertical="center" wrapText="1"/>
    </xf>
    <xf numFmtId="166" fontId="18" fillId="11" borderId="1" xfId="2" applyFont="1" applyFill="1" applyBorder="1" applyAlignment="1">
      <alignment vertical="center"/>
    </xf>
    <xf numFmtId="0" fontId="7" fillId="8" borderId="1" xfId="0" applyFont="1" applyFill="1" applyBorder="1" applyAlignment="1">
      <alignment vertical="center" wrapText="1"/>
    </xf>
    <xf numFmtId="166" fontId="7" fillId="8" borderId="1" xfId="2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166" fontId="5" fillId="0" borderId="1" xfId="2" applyFont="1" applyBorder="1" applyAlignment="1">
      <alignment horizontal="center" vertical="center"/>
    </xf>
    <xf numFmtId="166" fontId="1" fillId="5" borderId="1" xfId="2" applyFont="1" applyFill="1" applyBorder="1" applyAlignment="1">
      <alignment vertical="center"/>
    </xf>
    <xf numFmtId="165" fontId="1" fillId="0" borderId="1" xfId="2" applyNumberFormat="1" applyFont="1" applyFill="1" applyBorder="1" applyAlignment="1">
      <alignment vertical="center"/>
    </xf>
    <xf numFmtId="0" fontId="18" fillId="8" borderId="1" xfId="0" applyFont="1" applyFill="1" applyBorder="1" applyAlignment="1">
      <alignment vertical="center" wrapText="1"/>
    </xf>
    <xf numFmtId="166" fontId="7" fillId="11" borderId="1" xfId="2" applyFont="1" applyFill="1" applyBorder="1" applyAlignment="1">
      <alignment horizontal="center" vertical="center"/>
    </xf>
    <xf numFmtId="0" fontId="17" fillId="9" borderId="1" xfId="0" applyFont="1" applyFill="1" applyBorder="1" applyAlignment="1">
      <alignment horizontal="center" vertical="center"/>
    </xf>
    <xf numFmtId="0" fontId="15" fillId="9" borderId="1" xfId="0" applyFont="1" applyFill="1" applyBorder="1" applyAlignment="1">
      <alignment vertical="center"/>
    </xf>
    <xf numFmtId="0" fontId="17" fillId="9" borderId="1" xfId="0" applyFont="1" applyFill="1" applyBorder="1" applyAlignment="1">
      <alignment vertical="center" wrapText="1"/>
    </xf>
    <xf numFmtId="166" fontId="17" fillId="9" borderId="1" xfId="2" applyFont="1" applyFill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15" fillId="11" borderId="2" xfId="0" applyFont="1" applyFill="1" applyBorder="1" applyAlignment="1">
      <alignment horizontal="left" vertical="center" wrapText="1"/>
    </xf>
    <xf numFmtId="0" fontId="18" fillId="11" borderId="1" xfId="0" applyFont="1" applyFill="1" applyBorder="1" applyAlignment="1">
      <alignment vertical="center" wrapText="1"/>
    </xf>
    <xf numFmtId="166" fontId="1" fillId="0" borderId="1" xfId="2" applyFont="1" applyBorder="1" applyAlignment="1">
      <alignment horizontal="center" vertical="center"/>
    </xf>
    <xf numFmtId="0" fontId="7" fillId="11" borderId="3" xfId="0" applyFont="1" applyFill="1" applyBorder="1" applyAlignment="1">
      <alignment horizontal="center" vertical="center" wrapText="1"/>
    </xf>
    <xf numFmtId="0" fontId="18" fillId="11" borderId="3" xfId="0" applyFont="1" applyFill="1" applyBorder="1" applyAlignment="1">
      <alignment horizontal="left" vertical="center" wrapText="1"/>
    </xf>
    <xf numFmtId="0" fontId="7" fillId="11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/>
    </xf>
    <xf numFmtId="166" fontId="22" fillId="0" borderId="1" xfId="2" applyFont="1" applyBorder="1" applyAlignment="1">
      <alignment horizontal="center" vertical="center"/>
    </xf>
    <xf numFmtId="0" fontId="15" fillId="10" borderId="1" xfId="0" applyFont="1" applyFill="1" applyBorder="1" applyAlignment="1">
      <alignment vertical="center" wrapText="1"/>
    </xf>
    <xf numFmtId="0" fontId="15" fillId="0" borderId="0" xfId="0" applyFont="1" applyAlignment="1">
      <alignment vertical="center"/>
    </xf>
    <xf numFmtId="0" fontId="15" fillId="11" borderId="1" xfId="0" applyFont="1" applyFill="1" applyBorder="1" applyAlignment="1">
      <alignment vertical="center" wrapText="1"/>
    </xf>
    <xf numFmtId="0" fontId="1" fillId="0" borderId="0" xfId="0" applyFont="1" applyAlignment="1">
      <alignment vertical="center"/>
    </xf>
    <xf numFmtId="0" fontId="36" fillId="18" borderId="1" xfId="1" applyFont="1" applyFill="1" applyBorder="1" applyAlignment="1">
      <alignment horizontal="left" vertical="center" wrapText="1"/>
    </xf>
    <xf numFmtId="166" fontId="6" fillId="9" borderId="1" xfId="2" applyFont="1" applyFill="1" applyBorder="1" applyAlignment="1">
      <alignment horizontal="center" vertical="center"/>
    </xf>
    <xf numFmtId="165" fontId="17" fillId="7" borderId="0" xfId="2" applyNumberFormat="1" applyFont="1" applyFill="1" applyAlignment="1">
      <alignment horizontal="center" vertical="center" wrapText="1"/>
    </xf>
    <xf numFmtId="165" fontId="17" fillId="7" borderId="0" xfId="2" applyNumberFormat="1" applyFont="1" applyFill="1" applyAlignment="1">
      <alignment vertical="center" wrapText="1"/>
    </xf>
    <xf numFmtId="165" fontId="17" fillId="7" borderId="0" xfId="2" applyNumberFormat="1" applyFont="1" applyFill="1" applyAlignment="1">
      <alignment horizontal="center" vertical="center"/>
    </xf>
    <xf numFmtId="165" fontId="33" fillId="0" borderId="0" xfId="2" applyNumberFormat="1" applyFont="1" applyAlignment="1">
      <alignment vertical="center"/>
    </xf>
    <xf numFmtId="49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8" fillId="0" borderId="0" xfId="0" applyFont="1" applyAlignment="1">
      <alignment vertical="center"/>
    </xf>
    <xf numFmtId="0" fontId="37" fillId="0" borderId="0" xfId="0" applyFont="1" applyAlignment="1">
      <alignment vertical="center"/>
    </xf>
    <xf numFmtId="0" fontId="24" fillId="9" borderId="5" xfId="0" applyFont="1" applyFill="1" applyBorder="1" applyAlignment="1">
      <alignment vertical="center"/>
    </xf>
    <xf numFmtId="0" fontId="24" fillId="9" borderId="6" xfId="0" applyFont="1" applyFill="1" applyBorder="1" applyAlignment="1">
      <alignment vertical="center"/>
    </xf>
    <xf numFmtId="0" fontId="14" fillId="5" borderId="2" xfId="0" applyFont="1" applyFill="1" applyBorder="1" applyAlignment="1">
      <alignment horizontal="center" vertical="center" wrapText="1"/>
    </xf>
    <xf numFmtId="0" fontId="38" fillId="0" borderId="1" xfId="0" applyFont="1" applyBorder="1" applyAlignment="1">
      <alignment vertical="center" wrapText="1"/>
    </xf>
    <xf numFmtId="0" fontId="24" fillId="9" borderId="6" xfId="0" applyFont="1" applyFill="1" applyBorder="1" applyAlignment="1">
      <alignment horizontal="center" vertical="center"/>
    </xf>
    <xf numFmtId="0" fontId="24" fillId="9" borderId="6" xfId="0" applyFont="1" applyFill="1" applyBorder="1" applyAlignment="1">
      <alignment vertical="center" wrapText="1"/>
    </xf>
    <xf numFmtId="165" fontId="18" fillId="6" borderId="1" xfId="2" applyNumberFormat="1" applyFont="1" applyFill="1" applyBorder="1" applyAlignment="1">
      <alignment vertical="center"/>
    </xf>
    <xf numFmtId="0" fontId="0" fillId="19" borderId="1" xfId="0" applyFill="1" applyBorder="1" applyAlignment="1">
      <alignment vertical="center" wrapText="1"/>
    </xf>
    <xf numFmtId="165" fontId="1" fillId="19" borderId="1" xfId="2" applyNumberFormat="1" applyFont="1" applyFill="1" applyBorder="1" applyAlignment="1">
      <alignment vertical="center"/>
    </xf>
    <xf numFmtId="165" fontId="5" fillId="19" borderId="1" xfId="2" applyNumberFormat="1" applyFont="1" applyFill="1" applyBorder="1" applyAlignment="1">
      <alignment horizontal="center" vertical="center"/>
    </xf>
    <xf numFmtId="165" fontId="18" fillId="19" borderId="1" xfId="2" applyNumberFormat="1" applyFont="1" applyFill="1" applyBorder="1" applyAlignment="1">
      <alignment vertical="center"/>
    </xf>
    <xf numFmtId="49" fontId="1" fillId="19" borderId="1" xfId="2" applyNumberFormat="1" applyFont="1" applyFill="1" applyBorder="1" applyAlignment="1">
      <alignment horizontal="center" vertical="center"/>
    </xf>
    <xf numFmtId="166" fontId="18" fillId="19" borderId="1" xfId="2" applyFont="1" applyFill="1" applyBorder="1" applyAlignment="1">
      <alignment horizontal="center" vertical="center" wrapText="1"/>
    </xf>
    <xf numFmtId="165" fontId="18" fillId="19" borderId="1" xfId="2" applyNumberFormat="1" applyFont="1" applyFill="1" applyBorder="1" applyAlignment="1">
      <alignment horizontal="center" vertical="center"/>
    </xf>
    <xf numFmtId="44" fontId="24" fillId="9" borderId="6" xfId="0" applyNumberFormat="1" applyFont="1" applyFill="1" applyBorder="1" applyAlignment="1">
      <alignment vertical="center"/>
    </xf>
    <xf numFmtId="166" fontId="0" fillId="2" borderId="0" xfId="0" applyNumberFormat="1" applyFill="1" applyAlignment="1">
      <alignment horizontal="center" vertical="center"/>
    </xf>
    <xf numFmtId="166" fontId="18" fillId="6" borderId="1" xfId="2" applyFont="1" applyFill="1" applyBorder="1" applyAlignment="1">
      <alignment horizontal="center" vertical="center"/>
    </xf>
    <xf numFmtId="166" fontId="18" fillId="19" borderId="1" xfId="2" applyFont="1" applyFill="1" applyBorder="1" applyAlignment="1">
      <alignment horizontal="center" vertical="center"/>
    </xf>
    <xf numFmtId="165" fontId="5" fillId="3" borderId="1" xfId="2" applyNumberFormat="1" applyFont="1" applyFill="1" applyBorder="1" applyAlignment="1">
      <alignment horizontal="center" vertical="center"/>
    </xf>
    <xf numFmtId="165" fontId="6" fillId="3" borderId="1" xfId="2" applyNumberFormat="1" applyFont="1" applyFill="1" applyBorder="1" applyAlignment="1">
      <alignment vertical="center"/>
    </xf>
    <xf numFmtId="166" fontId="8" fillId="3" borderId="1" xfId="2" applyFont="1" applyFill="1" applyBorder="1" applyAlignment="1">
      <alignment horizontal="center" vertical="center"/>
    </xf>
    <xf numFmtId="0" fontId="14" fillId="5" borderId="7" xfId="0" applyFont="1" applyFill="1" applyBorder="1" applyAlignment="1">
      <alignment horizontal="center" vertical="center" wrapText="1"/>
    </xf>
    <xf numFmtId="49" fontId="23" fillId="5" borderId="2" xfId="0" applyNumberFormat="1" applyFont="1" applyFill="1" applyBorder="1" applyAlignment="1">
      <alignment horizontal="center" vertical="center" wrapText="1"/>
    </xf>
    <xf numFmtId="0" fontId="23" fillId="5" borderId="3" xfId="0" applyFont="1" applyFill="1" applyBorder="1" applyAlignment="1">
      <alignment horizontal="center" vertical="center" wrapText="1"/>
    </xf>
    <xf numFmtId="0" fontId="16" fillId="4" borderId="6" xfId="0" applyFont="1" applyFill="1" applyBorder="1" applyAlignment="1">
      <alignment horizontal="center" vertical="center"/>
    </xf>
    <xf numFmtId="0" fontId="14" fillId="3" borderId="6" xfId="0" applyFont="1" applyFill="1" applyBorder="1" applyAlignment="1">
      <alignment horizontal="left" vertical="center" wrapText="1"/>
    </xf>
    <xf numFmtId="165" fontId="7" fillId="3" borderId="1" xfId="2" applyNumberFormat="1" applyFont="1" applyFill="1" applyBorder="1" applyAlignment="1">
      <alignment horizontal="center" vertical="center"/>
    </xf>
    <xf numFmtId="166" fontId="6" fillId="3" borderId="1" xfId="2" applyFont="1" applyFill="1" applyBorder="1" applyAlignment="1">
      <alignment horizontal="center" vertical="center"/>
    </xf>
    <xf numFmtId="165" fontId="18" fillId="15" borderId="1" xfId="2" applyNumberFormat="1" applyFont="1" applyFill="1" applyBorder="1" applyAlignment="1">
      <alignment horizontal="center" vertical="center"/>
    </xf>
    <xf numFmtId="166" fontId="18" fillId="15" borderId="1" xfId="2" applyFont="1" applyFill="1" applyBorder="1" applyAlignment="1">
      <alignment horizontal="center" vertical="center"/>
    </xf>
    <xf numFmtId="166" fontId="1" fillId="0" borderId="2" xfId="2" applyFont="1" applyFill="1" applyBorder="1" applyAlignment="1">
      <alignment horizontal="center" vertical="center"/>
    </xf>
    <xf numFmtId="0" fontId="7" fillId="19" borderId="1" xfId="0" applyFont="1" applyFill="1" applyBorder="1" applyAlignment="1">
      <alignment wrapText="1"/>
    </xf>
    <xf numFmtId="49" fontId="18" fillId="19" borderId="1" xfId="2" applyNumberFormat="1" applyFont="1" applyFill="1" applyBorder="1" applyAlignment="1">
      <alignment horizontal="center" vertical="center"/>
    </xf>
    <xf numFmtId="0" fontId="0" fillId="0" borderId="0" xfId="0" applyAlignment="1">
      <alignment horizontal="left" vertical="center" wrapText="1" indent="2"/>
    </xf>
    <xf numFmtId="165" fontId="22" fillId="3" borderId="1" xfId="2" applyNumberFormat="1" applyFont="1" applyFill="1" applyBorder="1" applyAlignment="1">
      <alignment horizontal="center" vertical="center"/>
    </xf>
    <xf numFmtId="0" fontId="7" fillId="6" borderId="1" xfId="0" applyFont="1" applyFill="1" applyBorder="1" applyAlignment="1">
      <alignment vertical="center" wrapText="1"/>
    </xf>
    <xf numFmtId="165" fontId="7" fillId="6" borderId="1" xfId="2" applyNumberFormat="1" applyFont="1" applyFill="1" applyBorder="1" applyAlignment="1">
      <alignment horizontal="center" vertical="center"/>
    </xf>
    <xf numFmtId="49" fontId="18" fillId="6" borderId="1" xfId="2" applyNumberFormat="1" applyFont="1" applyFill="1" applyBorder="1" applyAlignment="1">
      <alignment horizontal="center" vertical="center"/>
    </xf>
    <xf numFmtId="166" fontId="1" fillId="0" borderId="2" xfId="2" applyFont="1" applyFill="1" applyBorder="1" applyAlignment="1">
      <alignment vertical="center" wrapText="1"/>
    </xf>
    <xf numFmtId="0" fontId="14" fillId="3" borderId="6" xfId="0" applyFont="1" applyFill="1" applyBorder="1" applyAlignment="1">
      <alignment horizontal="center" vertical="center" wrapText="1"/>
    </xf>
    <xf numFmtId="0" fontId="16" fillId="4" borderId="6" xfId="0" applyFont="1" applyFill="1" applyBorder="1" applyAlignment="1">
      <alignment horizontal="center" vertical="center" wrapText="1"/>
    </xf>
    <xf numFmtId="0" fontId="16" fillId="4" borderId="5" xfId="0" applyFont="1" applyFill="1" applyBorder="1" applyAlignment="1">
      <alignment horizontal="left" vertical="center"/>
    </xf>
    <xf numFmtId="165" fontId="18" fillId="5" borderId="1" xfId="2" applyNumberFormat="1" applyFont="1" applyFill="1" applyBorder="1" applyAlignment="1">
      <alignment horizontal="center" vertical="center"/>
    </xf>
    <xf numFmtId="0" fontId="14" fillId="3" borderId="5" xfId="0" applyFont="1" applyFill="1" applyBorder="1" applyAlignment="1">
      <alignment horizontal="left" vertical="center"/>
    </xf>
    <xf numFmtId="0" fontId="23" fillId="15" borderId="5" xfId="0" applyFont="1" applyFill="1" applyBorder="1" applyAlignment="1">
      <alignment horizontal="left" vertical="center"/>
    </xf>
    <xf numFmtId="0" fontId="14" fillId="15" borderId="6" xfId="0" applyFont="1" applyFill="1" applyBorder="1" applyAlignment="1">
      <alignment horizontal="center" vertical="center" wrapText="1"/>
    </xf>
    <xf numFmtId="0" fontId="14" fillId="15" borderId="6" xfId="0" applyFont="1" applyFill="1" applyBorder="1" applyAlignment="1">
      <alignment horizontal="left" vertical="center" wrapText="1"/>
    </xf>
    <xf numFmtId="165" fontId="5" fillId="5" borderId="1" xfId="2" applyNumberFormat="1" applyFont="1" applyFill="1" applyBorder="1" applyAlignment="1">
      <alignment horizontal="center" vertical="center"/>
    </xf>
    <xf numFmtId="165" fontId="6" fillId="5" borderId="1" xfId="2" applyNumberFormat="1" applyFont="1" applyFill="1" applyBorder="1" applyAlignment="1">
      <alignment vertical="center"/>
    </xf>
    <xf numFmtId="0" fontId="0" fillId="0" borderId="2" xfId="0" applyFont="1" applyBorder="1" applyAlignment="1">
      <alignment vertical="center" wrapText="1"/>
    </xf>
    <xf numFmtId="165" fontId="1" fillId="19" borderId="1" xfId="2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vertical="center" wrapText="1"/>
    </xf>
    <xf numFmtId="0" fontId="0" fillId="0" borderId="2" xfId="0" applyFont="1" applyFill="1" applyBorder="1" applyAlignment="1">
      <alignment horizontal="center" vertical="center"/>
    </xf>
    <xf numFmtId="165" fontId="6" fillId="3" borderId="8" xfId="2" applyNumberFormat="1" applyFont="1" applyFill="1" applyBorder="1" applyAlignment="1">
      <alignment vertical="center"/>
    </xf>
    <xf numFmtId="165" fontId="18" fillId="15" borderId="8" xfId="2" applyNumberFormat="1" applyFont="1" applyFill="1" applyBorder="1" applyAlignment="1">
      <alignment horizontal="center" vertical="center"/>
    </xf>
    <xf numFmtId="165" fontId="1" fillId="5" borderId="8" xfId="2" applyNumberFormat="1" applyFont="1" applyFill="1" applyBorder="1" applyAlignment="1">
      <alignment horizontal="center" vertical="center"/>
    </xf>
    <xf numFmtId="165" fontId="5" fillId="5" borderId="8" xfId="2" applyNumberFormat="1" applyFont="1" applyFill="1" applyBorder="1" applyAlignment="1">
      <alignment horizontal="center" vertical="center"/>
    </xf>
    <xf numFmtId="165" fontId="1" fillId="5" borderId="8" xfId="2" applyNumberFormat="1" applyFont="1" applyFill="1" applyBorder="1" applyAlignment="1">
      <alignment vertical="center"/>
    </xf>
    <xf numFmtId="165" fontId="38" fillId="0" borderId="1" xfId="2" applyNumberFormat="1" applyFont="1" applyBorder="1" applyAlignment="1">
      <alignment horizontal="center" vertical="center"/>
    </xf>
    <xf numFmtId="165" fontId="42" fillId="5" borderId="1" xfId="2" applyNumberFormat="1" applyFont="1" applyFill="1" applyBorder="1" applyAlignment="1">
      <alignment vertical="center"/>
    </xf>
    <xf numFmtId="165" fontId="38" fillId="12" borderId="1" xfId="2" applyNumberFormat="1" applyFont="1" applyFill="1" applyBorder="1" applyAlignment="1">
      <alignment vertical="center"/>
    </xf>
    <xf numFmtId="165" fontId="38" fillId="5" borderId="1" xfId="2" applyNumberFormat="1" applyFont="1" applyFill="1" applyBorder="1" applyAlignment="1">
      <alignment vertical="center"/>
    </xf>
    <xf numFmtId="49" fontId="38" fillId="0" borderId="1" xfId="2" applyNumberFormat="1" applyFont="1" applyFill="1" applyBorder="1" applyAlignment="1">
      <alignment horizontal="center" vertical="center"/>
    </xf>
    <xf numFmtId="0" fontId="38" fillId="0" borderId="0" xfId="0" applyFont="1"/>
    <xf numFmtId="0" fontId="38" fillId="0" borderId="0" xfId="0" applyFont="1" applyAlignment="1">
      <alignment vertical="center"/>
    </xf>
    <xf numFmtId="166" fontId="0" fillId="0" borderId="0" xfId="2" applyFont="1"/>
    <xf numFmtId="166" fontId="25" fillId="0" borderId="0" xfId="2" applyFont="1"/>
    <xf numFmtId="166" fontId="38" fillId="0" borderId="0" xfId="2" applyFont="1" applyAlignment="1">
      <alignment vertical="center"/>
    </xf>
    <xf numFmtId="166" fontId="38" fillId="0" borderId="0" xfId="2" applyFont="1"/>
    <xf numFmtId="166" fontId="7" fillId="0" borderId="0" xfId="2" applyFont="1"/>
    <xf numFmtId="165" fontId="38" fillId="0" borderId="1" xfId="2" applyNumberFormat="1" applyFont="1" applyFill="1" applyBorder="1" applyAlignment="1">
      <alignment horizontal="center" vertical="center"/>
    </xf>
    <xf numFmtId="43" fontId="0" fillId="0" borderId="0" xfId="0" applyNumberFormat="1"/>
    <xf numFmtId="166" fontId="18" fillId="21" borderId="1" xfId="2" applyFont="1" applyFill="1" applyBorder="1" applyAlignment="1">
      <alignment horizontal="center" vertical="center"/>
    </xf>
    <xf numFmtId="165" fontId="18" fillId="21" borderId="1" xfId="2" applyNumberFormat="1" applyFont="1" applyFill="1" applyBorder="1" applyAlignment="1">
      <alignment horizontal="center" vertical="center"/>
    </xf>
    <xf numFmtId="166" fontId="18" fillId="6" borderId="1" xfId="2" applyFont="1" applyFill="1" applyBorder="1" applyAlignment="1">
      <alignment vertical="center"/>
    </xf>
    <xf numFmtId="0" fontId="23" fillId="3" borderId="3" xfId="0" applyFont="1" applyFill="1" applyBorder="1" applyAlignment="1">
      <alignment horizontal="center" vertical="center" wrapText="1"/>
    </xf>
    <xf numFmtId="0" fontId="43" fillId="2" borderId="0" xfId="0" applyFont="1" applyFill="1" applyAlignment="1">
      <alignment vertical="center" wrapText="1"/>
    </xf>
    <xf numFmtId="0" fontId="44" fillId="4" borderId="1" xfId="0" applyFont="1" applyFill="1" applyBorder="1" applyAlignment="1">
      <alignment vertical="center" wrapText="1"/>
    </xf>
    <xf numFmtId="166" fontId="1" fillId="21" borderId="1" xfId="2" applyFont="1" applyFill="1" applyBorder="1" applyAlignment="1">
      <alignment vertical="center" wrapText="1"/>
    </xf>
    <xf numFmtId="166" fontId="1" fillId="0" borderId="1" xfId="2" applyFont="1" applyFill="1" applyBorder="1" applyAlignment="1">
      <alignment vertical="center" wrapText="1"/>
    </xf>
    <xf numFmtId="0" fontId="0" fillId="0" borderId="1" xfId="0" applyFont="1" applyFill="1" applyBorder="1" applyAlignment="1">
      <alignment vertical="center" wrapText="1"/>
    </xf>
    <xf numFmtId="0" fontId="0" fillId="0" borderId="0" xfId="0" applyFont="1" applyAlignment="1">
      <alignment vertical="center" wrapText="1"/>
    </xf>
    <xf numFmtId="166" fontId="38" fillId="0" borderId="1" xfId="2" applyFont="1" applyFill="1" applyBorder="1" applyAlignment="1">
      <alignment vertical="center" wrapText="1"/>
    </xf>
    <xf numFmtId="0" fontId="0" fillId="6" borderId="0" xfId="0" applyFont="1" applyFill="1" applyAlignment="1">
      <alignment vertical="center" wrapText="1"/>
    </xf>
    <xf numFmtId="0" fontId="0" fillId="6" borderId="1" xfId="0" applyFont="1" applyFill="1" applyBorder="1" applyAlignment="1">
      <alignment vertical="center" wrapText="1"/>
    </xf>
    <xf numFmtId="166" fontId="1" fillId="6" borderId="1" xfId="2" applyFont="1" applyFill="1" applyBorder="1" applyAlignment="1">
      <alignment vertical="center" wrapText="1"/>
    </xf>
    <xf numFmtId="165" fontId="18" fillId="3" borderId="1" xfId="2" applyNumberFormat="1" applyFont="1" applyFill="1" applyBorder="1" applyAlignment="1">
      <alignment horizontal="center" vertical="center"/>
    </xf>
    <xf numFmtId="166" fontId="18" fillId="3" borderId="1" xfId="2" applyFont="1" applyFill="1" applyBorder="1" applyAlignment="1">
      <alignment vertical="center"/>
    </xf>
    <xf numFmtId="0" fontId="23" fillId="15" borderId="5" xfId="0" applyFont="1" applyFill="1" applyBorder="1" applyAlignment="1">
      <alignment vertical="center"/>
    </xf>
    <xf numFmtId="0" fontId="14" fillId="15" borderId="6" xfId="0" applyFont="1" applyFill="1" applyBorder="1" applyAlignment="1">
      <alignment vertical="center"/>
    </xf>
    <xf numFmtId="0" fontId="14" fillId="15" borderId="6" xfId="0" applyFont="1" applyFill="1" applyBorder="1" applyAlignment="1">
      <alignment vertical="center" wrapText="1"/>
    </xf>
    <xf numFmtId="0" fontId="14" fillId="15" borderId="8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left" vertical="center" wrapText="1"/>
    </xf>
    <xf numFmtId="165" fontId="18" fillId="22" borderId="1" xfId="2" applyNumberFormat="1" applyFont="1" applyFill="1" applyBorder="1" applyAlignment="1">
      <alignment horizontal="center" vertical="center"/>
    </xf>
    <xf numFmtId="166" fontId="18" fillId="21" borderId="1" xfId="2" applyFont="1" applyFill="1" applyBorder="1" applyAlignment="1">
      <alignment vertical="center" wrapText="1"/>
    </xf>
    <xf numFmtId="166" fontId="7" fillId="17" borderId="0" xfId="2" applyFont="1" applyFill="1" applyAlignment="1">
      <alignment vertical="center" wrapText="1"/>
    </xf>
    <xf numFmtId="0" fontId="16" fillId="4" borderId="1" xfId="0" applyFont="1" applyFill="1" applyBorder="1" applyAlignment="1">
      <alignment horizontal="left" vertical="center" wrapText="1"/>
    </xf>
    <xf numFmtId="166" fontId="18" fillId="21" borderId="1" xfId="2" applyFont="1" applyFill="1" applyBorder="1" applyAlignment="1">
      <alignment horizontal="left" vertical="center" wrapText="1"/>
    </xf>
    <xf numFmtId="166" fontId="38" fillId="0" borderId="1" xfId="2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1" xfId="0" applyFill="1" applyBorder="1" applyAlignment="1">
      <alignment horizontal="left" vertical="center" wrapText="1"/>
    </xf>
    <xf numFmtId="166" fontId="1" fillId="0" borderId="1" xfId="2" applyFont="1" applyFill="1" applyBorder="1" applyAlignment="1">
      <alignment horizontal="left" vertical="center" wrapText="1"/>
    </xf>
    <xf numFmtId="165" fontId="24" fillId="9" borderId="6" xfId="0" applyNumberFormat="1" applyFont="1" applyFill="1" applyBorder="1" applyAlignment="1">
      <alignment vertical="center"/>
    </xf>
    <xf numFmtId="165" fontId="1" fillId="8" borderId="1" xfId="2" applyNumberFormat="1" applyFont="1" applyFill="1" applyBorder="1" applyAlignment="1">
      <alignment vertical="center"/>
    </xf>
    <xf numFmtId="165" fontId="38" fillId="8" borderId="1" xfId="2" applyNumberFormat="1" applyFont="1" applyFill="1" applyBorder="1" applyAlignment="1">
      <alignment vertical="center"/>
    </xf>
    <xf numFmtId="0" fontId="16" fillId="4" borderId="1" xfId="0" applyFont="1" applyFill="1" applyBorder="1" applyAlignment="1">
      <alignment vertical="center" wrapText="1"/>
    </xf>
    <xf numFmtId="166" fontId="18" fillId="21" borderId="1" xfId="2" applyFont="1" applyFill="1" applyBorder="1" applyAlignment="1">
      <alignment horizontal="center" vertical="center" wrapText="1"/>
    </xf>
    <xf numFmtId="166" fontId="1" fillId="0" borderId="1" xfId="2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 wrapText="1"/>
    </xf>
    <xf numFmtId="166" fontId="1" fillId="0" borderId="1" xfId="2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/>
    </xf>
    <xf numFmtId="166" fontId="8" fillId="3" borderId="1" xfId="2" applyFont="1" applyFill="1" applyBorder="1" applyAlignment="1">
      <alignment vertical="center"/>
    </xf>
    <xf numFmtId="165" fontId="1" fillId="23" borderId="1" xfId="2" applyNumberFormat="1" applyFont="1" applyFill="1" applyBorder="1" applyAlignment="1">
      <alignment vertical="center"/>
    </xf>
    <xf numFmtId="165" fontId="0" fillId="0" borderId="1" xfId="2" applyNumberFormat="1" applyFont="1" applyBorder="1" applyAlignment="1">
      <alignment horizontal="center" vertical="center"/>
    </xf>
    <xf numFmtId="44" fontId="0" fillId="2" borderId="0" xfId="0" applyNumberFormat="1" applyFill="1" applyAlignment="1">
      <alignment vertical="center" wrapText="1"/>
    </xf>
    <xf numFmtId="165" fontId="21" fillId="2" borderId="0" xfId="0" applyNumberFormat="1" applyFont="1" applyFill="1" applyAlignment="1">
      <alignment horizontal="left" vertical="center" wrapText="1"/>
    </xf>
    <xf numFmtId="166" fontId="1" fillId="0" borderId="1" xfId="2" applyFont="1" applyFill="1" applyBorder="1" applyAlignment="1">
      <alignment vertical="center"/>
    </xf>
    <xf numFmtId="49" fontId="1" fillId="0" borderId="1" xfId="2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/>
    <xf numFmtId="166" fontId="1" fillId="0" borderId="2" xfId="2" applyFont="1" applyFill="1" applyBorder="1" applyAlignment="1">
      <alignment vertical="center"/>
    </xf>
    <xf numFmtId="0" fontId="23" fillId="3" borderId="6" xfId="0" applyFont="1" applyFill="1" applyBorder="1" applyAlignment="1">
      <alignment vertical="center" wrapText="1"/>
    </xf>
    <xf numFmtId="0" fontId="23" fillId="3" borderId="8" xfId="0" applyFont="1" applyFill="1" applyBorder="1" applyAlignment="1">
      <alignment vertical="center" wrapText="1"/>
    </xf>
    <xf numFmtId="0" fontId="0" fillId="0" borderId="10" xfId="0" applyFont="1" applyFill="1" applyBorder="1" applyAlignment="1">
      <alignment vertical="center" wrapText="1"/>
    </xf>
    <xf numFmtId="0" fontId="23" fillId="3" borderId="5" xfId="0" applyFont="1" applyFill="1" applyBorder="1" applyAlignment="1">
      <alignment horizontal="left" vertical="center"/>
    </xf>
    <xf numFmtId="166" fontId="18" fillId="0" borderId="1" xfId="2" applyFont="1" applyFill="1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5" fillId="3" borderId="6" xfId="0" applyFont="1" applyFill="1" applyBorder="1" applyAlignment="1">
      <alignment vertical="center" wrapText="1"/>
    </xf>
    <xf numFmtId="0" fontId="25" fillId="15" borderId="6" xfId="0" applyFont="1" applyFill="1" applyBorder="1" applyAlignment="1">
      <alignment vertical="center" wrapText="1"/>
    </xf>
    <xf numFmtId="0" fontId="14" fillId="15" borderId="8" xfId="0" applyFont="1" applyFill="1" applyBorder="1" applyAlignment="1">
      <alignment vertical="center" wrapText="1"/>
    </xf>
    <xf numFmtId="166" fontId="22" fillId="0" borderId="2" xfId="2" applyFont="1" applyFill="1" applyBorder="1" applyAlignment="1">
      <alignment vertical="center"/>
    </xf>
    <xf numFmtId="0" fontId="22" fillId="0" borderId="2" xfId="0" applyFont="1" applyFill="1" applyBorder="1" applyAlignment="1">
      <alignment vertical="center" wrapText="1"/>
    </xf>
    <xf numFmtId="0" fontId="25" fillId="8" borderId="6" xfId="0" applyFont="1" applyFill="1" applyBorder="1" applyAlignment="1">
      <alignment vertical="center" wrapText="1"/>
    </xf>
    <xf numFmtId="0" fontId="25" fillId="8" borderId="5" xfId="0" applyFont="1" applyFill="1" applyBorder="1" applyAlignment="1">
      <alignment vertical="center"/>
    </xf>
    <xf numFmtId="0" fontId="28" fillId="15" borderId="5" xfId="0" applyFont="1" applyFill="1" applyBorder="1" applyAlignment="1">
      <alignment vertical="center"/>
    </xf>
    <xf numFmtId="0" fontId="25" fillId="3" borderId="5" xfId="0" applyFont="1" applyFill="1" applyBorder="1" applyAlignment="1">
      <alignment vertical="center"/>
    </xf>
    <xf numFmtId="0" fontId="0" fillId="0" borderId="0" xfId="0" applyFont="1" applyFill="1"/>
    <xf numFmtId="0" fontId="0" fillId="0" borderId="0" xfId="0" applyFont="1" applyFill="1" applyAlignment="1">
      <alignment vertical="center"/>
    </xf>
    <xf numFmtId="0" fontId="7" fillId="0" borderId="0" xfId="0" applyFont="1" applyAlignment="1">
      <alignment horizontal="center" vertical="center"/>
    </xf>
    <xf numFmtId="165" fontId="0" fillId="8" borderId="1" xfId="0" applyNumberFormat="1" applyFill="1" applyBorder="1" applyAlignment="1">
      <alignment vertical="center"/>
    </xf>
    <xf numFmtId="0" fontId="0" fillId="0" borderId="4" xfId="0" applyBorder="1" applyAlignment="1">
      <alignment vertical="center"/>
    </xf>
    <xf numFmtId="165" fontId="0" fillId="8" borderId="4" xfId="0" applyNumberFormat="1" applyFill="1" applyBorder="1" applyAlignment="1">
      <alignment vertical="center"/>
    </xf>
    <xf numFmtId="165" fontId="0" fillId="0" borderId="4" xfId="0" applyNumberFormat="1" applyBorder="1" applyAlignment="1">
      <alignment vertical="center"/>
    </xf>
    <xf numFmtId="165" fontId="0" fillId="16" borderId="4" xfId="0" applyNumberFormat="1" applyFill="1" applyBorder="1" applyAlignment="1">
      <alignment vertical="center"/>
    </xf>
    <xf numFmtId="0" fontId="6" fillId="24" borderId="18" xfId="0" applyFont="1" applyFill="1" applyBorder="1" applyAlignment="1">
      <alignment horizontal="center" vertical="center"/>
    </xf>
    <xf numFmtId="0" fontId="6" fillId="24" borderId="19" xfId="0" applyFont="1" applyFill="1" applyBorder="1" applyAlignment="1">
      <alignment horizontal="center" vertical="center"/>
    </xf>
    <xf numFmtId="0" fontId="6" fillId="24" borderId="21" xfId="0" applyFont="1" applyFill="1" applyBorder="1" applyAlignment="1">
      <alignment horizontal="center" vertical="center"/>
    </xf>
    <xf numFmtId="0" fontId="6" fillId="24" borderId="22" xfId="0" applyFont="1" applyFill="1" applyBorder="1" applyAlignment="1">
      <alignment horizontal="center" vertical="center"/>
    </xf>
    <xf numFmtId="0" fontId="6" fillId="24" borderId="23" xfId="0" applyFont="1" applyFill="1" applyBorder="1" applyAlignment="1">
      <alignment horizontal="center" vertical="center"/>
    </xf>
    <xf numFmtId="0" fontId="6" fillId="24" borderId="14" xfId="0" applyFont="1" applyFill="1" applyBorder="1" applyAlignment="1">
      <alignment horizontal="center" vertical="center"/>
    </xf>
    <xf numFmtId="0" fontId="6" fillId="24" borderId="24" xfId="0" applyFont="1" applyFill="1" applyBorder="1" applyAlignment="1">
      <alignment horizontal="center" vertical="center"/>
    </xf>
    <xf numFmtId="0" fontId="6" fillId="24" borderId="11" xfId="0" applyFont="1" applyFill="1" applyBorder="1" applyAlignment="1">
      <alignment horizontal="center" vertical="center"/>
    </xf>
    <xf numFmtId="0" fontId="0" fillId="0" borderId="2" xfId="0" applyBorder="1" applyAlignment="1">
      <alignment vertical="center"/>
    </xf>
    <xf numFmtId="165" fontId="0" fillId="8" borderId="2" xfId="0" applyNumberFormat="1" applyFill="1" applyBorder="1" applyAlignment="1">
      <alignment vertical="center"/>
    </xf>
    <xf numFmtId="165" fontId="0" fillId="0" borderId="2" xfId="0" applyNumberFormat="1" applyBorder="1" applyAlignment="1">
      <alignment vertical="center"/>
    </xf>
    <xf numFmtId="166" fontId="1" fillId="0" borderId="2" xfId="2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6" fontId="1" fillId="0" borderId="10" xfId="2" applyFont="1" applyFill="1" applyBorder="1" applyAlignment="1">
      <alignment vertical="center" wrapText="1"/>
    </xf>
    <xf numFmtId="0" fontId="23" fillId="3" borderId="6" xfId="0" applyFont="1" applyFill="1" applyBorder="1" applyAlignment="1">
      <alignment horizontal="center" vertical="center" wrapText="1"/>
    </xf>
    <xf numFmtId="0" fontId="14" fillId="15" borderId="6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65" fontId="18" fillId="23" borderId="1" xfId="2" applyNumberFormat="1" applyFont="1" applyFill="1" applyBorder="1" applyAlignment="1">
      <alignment vertical="center"/>
    </xf>
    <xf numFmtId="166" fontId="7" fillId="0" borderId="0" xfId="2" applyFont="1" applyAlignment="1">
      <alignment vertical="center"/>
    </xf>
    <xf numFmtId="165" fontId="6" fillId="24" borderId="30" xfId="0" applyNumberFormat="1" applyFont="1" applyFill="1" applyBorder="1" applyAlignment="1">
      <alignment vertical="center"/>
    </xf>
    <xf numFmtId="165" fontId="18" fillId="16" borderId="30" xfId="0" applyNumberFormat="1" applyFont="1" applyFill="1" applyBorder="1" applyAlignment="1">
      <alignment vertical="center"/>
    </xf>
    <xf numFmtId="165" fontId="6" fillId="24" borderId="27" xfId="0" applyNumberFormat="1" applyFont="1" applyFill="1" applyBorder="1" applyAlignment="1">
      <alignment vertical="center"/>
    </xf>
    <xf numFmtId="165" fontId="6" fillId="24" borderId="28" xfId="0" applyNumberFormat="1" applyFont="1" applyFill="1" applyBorder="1" applyAlignment="1">
      <alignment vertical="center"/>
    </xf>
    <xf numFmtId="0" fontId="0" fillId="2" borderId="0" xfId="0" applyFill="1" applyAlignment="1">
      <alignment horizontal="center"/>
    </xf>
    <xf numFmtId="0" fontId="0" fillId="2" borderId="0" xfId="0" applyFill="1"/>
    <xf numFmtId="165" fontId="0" fillId="0" borderId="25" xfId="0" applyNumberFormat="1" applyBorder="1" applyAlignment="1">
      <alignment vertical="center"/>
    </xf>
    <xf numFmtId="165" fontId="18" fillId="16" borderId="1" xfId="0" applyNumberFormat="1" applyFont="1" applyFill="1" applyBorder="1" applyAlignment="1">
      <alignment vertical="center"/>
    </xf>
    <xf numFmtId="9" fontId="6" fillId="24" borderId="1" xfId="0" applyNumberFormat="1" applyFont="1" applyFill="1" applyBorder="1" applyAlignment="1">
      <alignment horizontal="center" vertical="center"/>
    </xf>
    <xf numFmtId="0" fontId="6" fillId="24" borderId="16" xfId="0" applyFont="1" applyFill="1" applyBorder="1" applyAlignment="1">
      <alignment vertical="center"/>
    </xf>
    <xf numFmtId="0" fontId="0" fillId="2" borderId="0" xfId="0" applyFill="1" applyAlignment="1">
      <alignment horizontal="center"/>
    </xf>
    <xf numFmtId="0" fontId="14" fillId="5" borderId="1" xfId="0" applyFont="1" applyFill="1" applyBorder="1" applyAlignment="1">
      <alignment horizontal="center" vertical="center" wrapText="1"/>
    </xf>
    <xf numFmtId="0" fontId="25" fillId="8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66" fontId="1" fillId="0" borderId="1" xfId="2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 wrapText="1"/>
    </xf>
    <xf numFmtId="0" fontId="14" fillId="5" borderId="1" xfId="0" applyFont="1" applyFill="1" applyBorder="1" applyAlignment="1">
      <alignment horizontal="center" vertical="center" wrapText="1"/>
    </xf>
    <xf numFmtId="165" fontId="0" fillId="2" borderId="0" xfId="0" applyNumberFormat="1" applyFill="1"/>
    <xf numFmtId="44" fontId="0" fillId="2" borderId="0" xfId="0" applyNumberFormat="1" applyFill="1"/>
    <xf numFmtId="0" fontId="7" fillId="2" borderId="0" xfId="0" applyFont="1" applyFill="1" applyAlignment="1">
      <alignment horizontal="center" vertical="center"/>
    </xf>
    <xf numFmtId="0" fontId="18" fillId="8" borderId="1" xfId="0" applyFont="1" applyFill="1" applyBorder="1" applyAlignment="1">
      <alignment vertical="center"/>
    </xf>
    <xf numFmtId="0" fontId="0" fillId="8" borderId="2" xfId="0" applyFill="1" applyBorder="1" applyAlignment="1">
      <alignment vertical="center" wrapText="1"/>
    </xf>
    <xf numFmtId="0" fontId="1" fillId="8" borderId="2" xfId="0" applyFont="1" applyFill="1" applyBorder="1" applyAlignment="1">
      <alignment vertical="center" wrapText="1"/>
    </xf>
    <xf numFmtId="0" fontId="1" fillId="14" borderId="1" xfId="0" applyFont="1" applyFill="1" applyBorder="1" applyAlignment="1">
      <alignment vertical="center" wrapText="1"/>
    </xf>
    <xf numFmtId="166" fontId="7" fillId="14" borderId="1" xfId="2" applyFont="1" applyFill="1" applyBorder="1" applyAlignment="1">
      <alignment horizontal="center" vertical="center"/>
    </xf>
    <xf numFmtId="0" fontId="7" fillId="14" borderId="1" xfId="0" applyFont="1" applyFill="1" applyBorder="1" applyAlignment="1">
      <alignment vertical="center" wrapText="1"/>
    </xf>
    <xf numFmtId="0" fontId="7" fillId="14" borderId="4" xfId="0" applyFont="1" applyFill="1" applyBorder="1" applyAlignment="1">
      <alignment horizontal="center" vertical="center"/>
    </xf>
    <xf numFmtId="0" fontId="7" fillId="14" borderId="4" xfId="0" applyFont="1" applyFill="1" applyBorder="1" applyAlignment="1">
      <alignment vertical="center" wrapText="1"/>
    </xf>
    <xf numFmtId="49" fontId="18" fillId="14" borderId="1" xfId="2" applyNumberFormat="1" applyFont="1" applyFill="1" applyBorder="1" applyAlignment="1">
      <alignment horizontal="center" vertical="center"/>
    </xf>
    <xf numFmtId="0" fontId="7" fillId="14" borderId="2" xfId="0" applyFont="1" applyFill="1" applyBorder="1" applyAlignment="1">
      <alignment vertical="center" wrapText="1"/>
    </xf>
    <xf numFmtId="0" fontId="47" fillId="14" borderId="2" xfId="0" applyFont="1" applyFill="1" applyBorder="1" applyAlignment="1">
      <alignment vertical="center" wrapText="1"/>
    </xf>
    <xf numFmtId="166" fontId="1" fillId="14" borderId="1" xfId="2" applyFont="1" applyFill="1" applyBorder="1" applyAlignment="1">
      <alignment horizontal="center" vertical="center"/>
    </xf>
    <xf numFmtId="0" fontId="0" fillId="14" borderId="2" xfId="0" applyFill="1" applyBorder="1" applyAlignment="1">
      <alignment vertical="center" wrapText="1"/>
    </xf>
    <xf numFmtId="0" fontId="1" fillId="14" borderId="2" xfId="0" applyFont="1" applyFill="1" applyBorder="1" applyAlignment="1">
      <alignment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166" fontId="7" fillId="14" borderId="1" xfId="2" applyFont="1" applyFill="1" applyBorder="1" applyAlignment="1">
      <alignment horizontal="center" vertical="center" wrapText="1"/>
    </xf>
    <xf numFmtId="165" fontId="7" fillId="14" borderId="1" xfId="2" applyNumberFormat="1" applyFont="1" applyFill="1" applyBorder="1" applyAlignment="1">
      <alignment horizontal="center" vertical="center"/>
    </xf>
    <xf numFmtId="165" fontId="7" fillId="14" borderId="8" xfId="2" applyNumberFormat="1" applyFont="1" applyFill="1" applyBorder="1" applyAlignment="1">
      <alignment horizontal="center" vertical="center"/>
    </xf>
    <xf numFmtId="165" fontId="0" fillId="5" borderId="1" xfId="0" applyNumberFormat="1" applyFill="1" applyBorder="1" applyAlignment="1">
      <alignment vertical="center"/>
    </xf>
    <xf numFmtId="165" fontId="17" fillId="2" borderId="0" xfId="2" applyNumberFormat="1" applyFont="1" applyFill="1" applyAlignment="1">
      <alignment horizontal="center" vertical="center" wrapText="1"/>
    </xf>
    <xf numFmtId="165" fontId="17" fillId="2" borderId="0" xfId="2" applyNumberFormat="1" applyFont="1" applyFill="1" applyAlignment="1">
      <alignment vertical="center" wrapText="1"/>
    </xf>
    <xf numFmtId="165" fontId="17" fillId="2" borderId="0" xfId="2" applyNumberFormat="1" applyFont="1" applyFill="1" applyAlignment="1">
      <alignment horizontal="center" vertical="center"/>
    </xf>
    <xf numFmtId="165" fontId="33" fillId="2" borderId="0" xfId="2" applyNumberFormat="1" applyFont="1" applyFill="1" applyAlignment="1">
      <alignment vertical="center"/>
    </xf>
    <xf numFmtId="0" fontId="14" fillId="7" borderId="2" xfId="0" applyFont="1" applyFill="1" applyBorder="1" applyAlignment="1">
      <alignment horizontal="left" vertical="center"/>
    </xf>
    <xf numFmtId="0" fontId="14" fillId="7" borderId="2" xfId="0" applyFont="1" applyFill="1" applyBorder="1" applyAlignment="1">
      <alignment horizontal="center" vertical="center"/>
    </xf>
    <xf numFmtId="0" fontId="14" fillId="7" borderId="2" xfId="0" applyFont="1" applyFill="1" applyBorder="1" applyAlignment="1">
      <alignment vertical="center" wrapText="1"/>
    </xf>
    <xf numFmtId="165" fontId="24" fillId="7" borderId="2" xfId="2" applyNumberFormat="1" applyFont="1" applyFill="1" applyBorder="1" applyAlignment="1">
      <alignment horizontal="center" vertical="center"/>
    </xf>
    <xf numFmtId="0" fontId="24" fillId="9" borderId="4" xfId="0" applyFont="1" applyFill="1" applyBorder="1" applyAlignment="1">
      <alignment horizontal="left" vertical="center"/>
    </xf>
    <xf numFmtId="0" fontId="24" fillId="9" borderId="4" xfId="0" applyFont="1" applyFill="1" applyBorder="1" applyAlignment="1">
      <alignment horizontal="center" vertical="center"/>
    </xf>
    <xf numFmtId="0" fontId="23" fillId="9" borderId="4" xfId="0" applyFont="1" applyFill="1" applyBorder="1" applyAlignment="1">
      <alignment vertical="center" wrapText="1"/>
    </xf>
    <xf numFmtId="166" fontId="24" fillId="9" borderId="4" xfId="2" applyFont="1" applyFill="1" applyBorder="1" applyAlignment="1">
      <alignment horizontal="center" vertical="center"/>
    </xf>
    <xf numFmtId="166" fontId="24" fillId="9" borderId="4" xfId="2" applyFont="1" applyFill="1" applyBorder="1" applyAlignment="1">
      <alignment vertical="center"/>
    </xf>
    <xf numFmtId="0" fontId="14" fillId="2" borderId="0" xfId="0" applyFont="1" applyFill="1" applyBorder="1" applyAlignment="1">
      <alignment horizontal="left" vertical="center"/>
    </xf>
    <xf numFmtId="0" fontId="14" fillId="2" borderId="0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vertical="center" wrapText="1"/>
    </xf>
    <xf numFmtId="165" fontId="24" fillId="2" borderId="0" xfId="2" applyNumberFormat="1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vertical="center"/>
    </xf>
    <xf numFmtId="0" fontId="7" fillId="19" borderId="1" xfId="0" applyFont="1" applyFill="1" applyBorder="1" applyAlignment="1">
      <alignment vertical="center" wrapText="1"/>
    </xf>
    <xf numFmtId="0" fontId="0" fillId="19" borderId="1" xfId="0" applyFill="1" applyBorder="1" applyAlignment="1">
      <alignment horizontal="left" vertical="center" wrapText="1"/>
    </xf>
    <xf numFmtId="0" fontId="0" fillId="19" borderId="2" xfId="0" applyFill="1" applyBorder="1" applyAlignment="1">
      <alignment vertical="center" wrapText="1"/>
    </xf>
    <xf numFmtId="0" fontId="1" fillId="0" borderId="10" xfId="0" applyFont="1" applyFill="1" applyBorder="1" applyAlignment="1">
      <alignment vertical="center" wrapText="1"/>
    </xf>
    <xf numFmtId="49" fontId="18" fillId="0" borderId="1" xfId="2" applyNumberFormat="1" applyFont="1" applyFill="1" applyBorder="1" applyAlignment="1">
      <alignment horizontal="center" vertical="center"/>
    </xf>
    <xf numFmtId="167" fontId="7" fillId="16" borderId="1" xfId="0" applyNumberFormat="1" applyFont="1" applyFill="1" applyBorder="1" applyAlignment="1">
      <alignment vertical="center"/>
    </xf>
    <xf numFmtId="166" fontId="0" fillId="2" borderId="0" xfId="2" applyFont="1" applyFill="1"/>
    <xf numFmtId="10" fontId="0" fillId="2" borderId="1" xfId="0" applyNumberFormat="1" applyFill="1" applyBorder="1" applyAlignment="1">
      <alignment horizontal="center" vertical="center"/>
    </xf>
    <xf numFmtId="165" fontId="46" fillId="16" borderId="1" xfId="0" applyNumberFormat="1" applyFont="1" applyFill="1" applyBorder="1" applyAlignment="1">
      <alignment vertical="center"/>
    </xf>
    <xf numFmtId="10" fontId="49" fillId="25" borderId="1" xfId="0" applyNumberFormat="1" applyFont="1" applyFill="1" applyBorder="1" applyAlignment="1">
      <alignment horizontal="center" vertical="center"/>
    </xf>
    <xf numFmtId="10" fontId="49" fillId="16" borderId="1" xfId="0" applyNumberFormat="1" applyFont="1" applyFill="1" applyBorder="1" applyAlignment="1">
      <alignment horizontal="center" vertical="center"/>
    </xf>
    <xf numFmtId="0" fontId="49" fillId="2" borderId="0" xfId="0" applyFont="1" applyFill="1" applyAlignment="1">
      <alignment horizontal="center" vertical="center"/>
    </xf>
    <xf numFmtId="0" fontId="49" fillId="0" borderId="0" xfId="0" applyFont="1" applyAlignment="1">
      <alignment horizontal="center" vertical="center"/>
    </xf>
    <xf numFmtId="167" fontId="49" fillId="12" borderId="1" xfId="0" applyNumberFormat="1" applyFont="1" applyFill="1" applyBorder="1" applyAlignment="1">
      <alignment vertical="center"/>
    </xf>
    <xf numFmtId="165" fontId="7" fillId="16" borderId="1" xfId="0" applyNumberFormat="1" applyFont="1" applyFill="1" applyBorder="1" applyAlignment="1">
      <alignment vertical="center"/>
    </xf>
    <xf numFmtId="2" fontId="18" fillId="14" borderId="1" xfId="2" applyNumberFormat="1" applyFont="1" applyFill="1" applyBorder="1" applyAlignment="1">
      <alignment horizontal="center" vertical="center"/>
    </xf>
    <xf numFmtId="1" fontId="0" fillId="2" borderId="0" xfId="0" applyNumberFormat="1" applyFill="1" applyAlignment="1">
      <alignment horizontal="center" vertical="center"/>
    </xf>
    <xf numFmtId="1" fontId="18" fillId="14" borderId="1" xfId="2" applyNumberFormat="1" applyFont="1" applyFill="1" applyBorder="1" applyAlignment="1">
      <alignment horizontal="center" vertical="center"/>
    </xf>
    <xf numFmtId="0" fontId="0" fillId="2" borderId="0" xfId="0" applyFill="1" applyAlignment="1">
      <alignment horizontal="left" vertical="center" wrapText="1"/>
    </xf>
    <xf numFmtId="1" fontId="0" fillId="0" borderId="0" xfId="0" applyNumberFormat="1" applyAlignment="1">
      <alignment horizontal="center"/>
    </xf>
    <xf numFmtId="1" fontId="0" fillId="2" borderId="0" xfId="0" applyNumberFormat="1" applyFill="1" applyAlignment="1">
      <alignment horizontal="center" vertical="center" wrapText="1"/>
    </xf>
    <xf numFmtId="1" fontId="6" fillId="2" borderId="0" xfId="0" applyNumberFormat="1" applyFont="1" applyFill="1" applyAlignment="1">
      <alignment horizontal="center" vertical="center"/>
    </xf>
    <xf numFmtId="1" fontId="6" fillId="8" borderId="1" xfId="2" applyNumberFormat="1" applyFont="1" applyFill="1" applyBorder="1" applyAlignment="1">
      <alignment horizontal="center" vertical="center"/>
    </xf>
    <xf numFmtId="49" fontId="23" fillId="5" borderId="1" xfId="0" applyNumberFormat="1" applyFont="1" applyFill="1" applyBorder="1" applyAlignment="1">
      <alignment horizontal="center" vertical="center" wrapText="1"/>
    </xf>
    <xf numFmtId="0" fontId="23" fillId="5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25" fillId="8" borderId="1" xfId="0" applyFont="1" applyFill="1" applyBorder="1" applyAlignment="1">
      <alignment vertical="center"/>
    </xf>
    <xf numFmtId="0" fontId="25" fillId="8" borderId="1" xfId="0" applyFont="1" applyFill="1" applyBorder="1" applyAlignment="1">
      <alignment vertical="center" wrapText="1"/>
    </xf>
    <xf numFmtId="1" fontId="25" fillId="8" borderId="1" xfId="0" applyNumberFormat="1" applyFont="1" applyFill="1" applyBorder="1" applyAlignment="1">
      <alignment horizontal="center" vertical="center" wrapText="1"/>
    </xf>
    <xf numFmtId="166" fontId="22" fillId="0" borderId="1" xfId="2" applyFont="1" applyFill="1" applyBorder="1" applyAlignment="1">
      <alignment vertical="center"/>
    </xf>
    <xf numFmtId="0" fontId="22" fillId="0" borderId="1" xfId="0" applyFont="1" applyFill="1" applyBorder="1" applyAlignment="1">
      <alignment vertical="center" wrapText="1"/>
    </xf>
    <xf numFmtId="1" fontId="1" fillId="0" borderId="1" xfId="2" applyNumberFormat="1" applyFont="1" applyFill="1" applyBorder="1" applyAlignment="1">
      <alignment horizontal="center" vertical="center"/>
    </xf>
    <xf numFmtId="165" fontId="1" fillId="0" borderId="1" xfId="2" applyNumberFormat="1" applyFont="1" applyFill="1" applyBorder="1" applyAlignment="1">
      <alignment horizontal="left" vertical="center"/>
    </xf>
    <xf numFmtId="165" fontId="1" fillId="0" borderId="1" xfId="2" applyNumberFormat="1" applyFont="1" applyFill="1" applyBorder="1" applyAlignment="1">
      <alignment horizontal="left" vertical="center" wrapText="1"/>
    </xf>
    <xf numFmtId="1" fontId="1" fillId="25" borderId="1" xfId="2" applyNumberFormat="1" applyFont="1" applyFill="1" applyBorder="1" applyAlignment="1">
      <alignment horizontal="center" vertical="center"/>
    </xf>
    <xf numFmtId="1" fontId="5" fillId="25" borderId="1" xfId="2" applyNumberFormat="1" applyFont="1" applyFill="1" applyBorder="1" applyAlignment="1">
      <alignment horizontal="center" vertical="center"/>
    </xf>
    <xf numFmtId="1" fontId="18" fillId="25" borderId="1" xfId="2" applyNumberFormat="1" applyFont="1" applyFill="1" applyBorder="1" applyAlignment="1">
      <alignment horizontal="center" vertical="center"/>
    </xf>
    <xf numFmtId="1" fontId="24" fillId="7" borderId="1" xfId="0" applyNumberFormat="1" applyFont="1" applyFill="1" applyBorder="1" applyAlignment="1">
      <alignment horizontal="center" vertical="center" wrapText="1"/>
    </xf>
    <xf numFmtId="166" fontId="1" fillId="14" borderId="1" xfId="2" applyFont="1" applyFill="1" applyBorder="1" applyAlignment="1">
      <alignment vertical="center" wrapText="1"/>
    </xf>
    <xf numFmtId="1" fontId="1" fillId="0" borderId="1" xfId="2" applyNumberFormat="1" applyFont="1" applyFill="1" applyBorder="1" applyAlignment="1">
      <alignment horizontal="center" vertical="center" wrapText="1"/>
    </xf>
    <xf numFmtId="1" fontId="1" fillId="25" borderId="1" xfId="2" applyNumberFormat="1" applyFont="1" applyFill="1" applyBorder="1" applyAlignment="1">
      <alignment horizontal="center" vertical="center" wrapText="1"/>
    </xf>
    <xf numFmtId="165" fontId="1" fillId="0" borderId="1" xfId="2" applyNumberFormat="1" applyFont="1" applyFill="1" applyBorder="1" applyAlignment="1">
      <alignment vertical="center" wrapText="1"/>
    </xf>
    <xf numFmtId="166" fontId="18" fillId="14" borderId="1" xfId="2" applyFont="1" applyFill="1" applyBorder="1" applyAlignment="1">
      <alignment vertical="center" wrapText="1"/>
    </xf>
    <xf numFmtId="1" fontId="14" fillId="5" borderId="1" xfId="0" applyNumberFormat="1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0" xfId="0" applyFill="1" applyAlignment="1">
      <alignment horizontal="center"/>
    </xf>
    <xf numFmtId="167" fontId="0" fillId="2" borderId="0" xfId="0" applyNumberFormat="1" applyFill="1" applyAlignment="1">
      <alignment vertical="center"/>
    </xf>
    <xf numFmtId="167" fontId="7" fillId="17" borderId="1" xfId="0" applyNumberFormat="1" applyFont="1" applyFill="1" applyBorder="1" applyAlignment="1">
      <alignment vertical="center"/>
    </xf>
    <xf numFmtId="167" fontId="7" fillId="2" borderId="0" xfId="0" applyNumberFormat="1" applyFont="1" applyFill="1" applyAlignment="1">
      <alignment vertical="center"/>
    </xf>
    <xf numFmtId="167" fontId="6" fillId="24" borderId="18" xfId="0" applyNumberFormat="1" applyFont="1" applyFill="1" applyBorder="1" applyAlignment="1">
      <alignment horizontal="center" vertical="center"/>
    </xf>
    <xf numFmtId="167" fontId="6" fillId="24" borderId="19" xfId="0" applyNumberFormat="1" applyFont="1" applyFill="1" applyBorder="1" applyAlignment="1">
      <alignment horizontal="center" vertical="center"/>
    </xf>
    <xf numFmtId="167" fontId="7" fillId="2" borderId="0" xfId="0" applyNumberFormat="1" applyFont="1" applyFill="1" applyAlignment="1">
      <alignment horizontal="center" vertical="center"/>
    </xf>
    <xf numFmtId="167" fontId="7" fillId="0" borderId="0" xfId="0" applyNumberFormat="1" applyFont="1" applyAlignment="1">
      <alignment horizontal="center" vertical="center"/>
    </xf>
    <xf numFmtId="167" fontId="6" fillId="24" borderId="21" xfId="0" applyNumberFormat="1" applyFont="1" applyFill="1" applyBorder="1" applyAlignment="1">
      <alignment horizontal="center" vertical="center"/>
    </xf>
    <xf numFmtId="167" fontId="6" fillId="24" borderId="22" xfId="0" applyNumberFormat="1" applyFont="1" applyFill="1" applyBorder="1" applyAlignment="1">
      <alignment horizontal="center" vertical="center"/>
    </xf>
    <xf numFmtId="167" fontId="6" fillId="24" borderId="23" xfId="0" applyNumberFormat="1" applyFont="1" applyFill="1" applyBorder="1" applyAlignment="1">
      <alignment horizontal="center" vertical="center"/>
    </xf>
    <xf numFmtId="167" fontId="6" fillId="24" borderId="14" xfId="0" applyNumberFormat="1" applyFont="1" applyFill="1" applyBorder="1" applyAlignment="1">
      <alignment horizontal="center" vertical="center"/>
    </xf>
    <xf numFmtId="167" fontId="6" fillId="24" borderId="24" xfId="0" applyNumberFormat="1" applyFont="1" applyFill="1" applyBorder="1" applyAlignment="1">
      <alignment horizontal="center" vertical="center"/>
    </xf>
    <xf numFmtId="167" fontId="6" fillId="24" borderId="11" xfId="0" applyNumberFormat="1" applyFont="1" applyFill="1" applyBorder="1" applyAlignment="1">
      <alignment horizontal="center" vertical="center"/>
    </xf>
    <xf numFmtId="167" fontId="0" fillId="0" borderId="4" xfId="0" applyNumberFormat="1" applyBorder="1" applyAlignment="1">
      <alignment horizontal="center" vertical="center"/>
    </xf>
    <xf numFmtId="167" fontId="0" fillId="0" borderId="4" xfId="0" applyNumberFormat="1" applyBorder="1" applyAlignment="1">
      <alignment vertical="center"/>
    </xf>
    <xf numFmtId="167" fontId="0" fillId="8" borderId="4" xfId="0" applyNumberFormat="1" applyFill="1" applyBorder="1" applyAlignment="1">
      <alignment vertical="center"/>
    </xf>
    <xf numFmtId="167" fontId="0" fillId="16" borderId="4" xfId="0" applyNumberFormat="1" applyFill="1" applyBorder="1" applyAlignment="1">
      <alignment vertical="center"/>
    </xf>
    <xf numFmtId="167" fontId="6" fillId="2" borderId="0" xfId="2" applyNumberFormat="1" applyFont="1" applyFill="1" applyAlignment="1">
      <alignment horizontal="center" vertical="center"/>
    </xf>
    <xf numFmtId="167" fontId="1" fillId="2" borderId="0" xfId="0" applyNumberFormat="1" applyFont="1" applyFill="1" applyAlignment="1">
      <alignment vertical="center"/>
    </xf>
    <xf numFmtId="167" fontId="0" fillId="0" borderId="0" xfId="0" applyNumberFormat="1" applyAlignment="1">
      <alignment vertical="center"/>
    </xf>
    <xf numFmtId="167" fontId="0" fillId="0" borderId="1" xfId="0" applyNumberFormat="1" applyBorder="1" applyAlignment="1">
      <alignment horizontal="center" vertical="center"/>
    </xf>
    <xf numFmtId="167" fontId="0" fillId="0" borderId="1" xfId="0" applyNumberFormat="1" applyBorder="1" applyAlignment="1">
      <alignment vertical="center"/>
    </xf>
    <xf numFmtId="167" fontId="0" fillId="0" borderId="2" xfId="0" applyNumberFormat="1" applyBorder="1" applyAlignment="1">
      <alignment horizontal="center" vertical="center"/>
    </xf>
    <xf numFmtId="167" fontId="0" fillId="0" borderId="2" xfId="0" applyNumberFormat="1" applyBorder="1" applyAlignment="1">
      <alignment vertical="center"/>
    </xf>
    <xf numFmtId="167" fontId="6" fillId="24" borderId="30" xfId="0" applyNumberFormat="1" applyFont="1" applyFill="1" applyBorder="1" applyAlignment="1">
      <alignment vertical="center"/>
    </xf>
    <xf numFmtId="167" fontId="18" fillId="16" borderId="30" xfId="0" applyNumberFormat="1" applyFont="1" applyFill="1" applyBorder="1" applyAlignment="1">
      <alignment vertical="center"/>
    </xf>
    <xf numFmtId="167" fontId="6" fillId="24" borderId="27" xfId="0" applyNumberFormat="1" applyFont="1" applyFill="1" applyBorder="1" applyAlignment="1">
      <alignment vertical="center"/>
    </xf>
    <xf numFmtId="167" fontId="6" fillId="24" borderId="28" xfId="0" applyNumberFormat="1" applyFont="1" applyFill="1" applyBorder="1" applyAlignment="1">
      <alignment vertical="center"/>
    </xf>
    <xf numFmtId="167" fontId="8" fillId="2" borderId="0" xfId="0" applyNumberFormat="1" applyFont="1" applyFill="1" applyAlignment="1">
      <alignment vertical="center"/>
    </xf>
    <xf numFmtId="171" fontId="49" fillId="25" borderId="1" xfId="3" applyNumberFormat="1" applyFont="1" applyFill="1" applyBorder="1" applyAlignment="1">
      <alignment horizontal="center" vertical="center"/>
    </xf>
    <xf numFmtId="171" fontId="49" fillId="16" borderId="1" xfId="3" applyNumberFormat="1" applyFont="1" applyFill="1" applyBorder="1" applyAlignment="1">
      <alignment horizontal="center" vertical="center"/>
    </xf>
    <xf numFmtId="171" fontId="0" fillId="2" borderId="1" xfId="3" applyNumberFormat="1" applyFont="1" applyFill="1" applyBorder="1" applyAlignment="1">
      <alignment horizontal="center" vertical="center"/>
    </xf>
    <xf numFmtId="172" fontId="46" fillId="16" borderId="1" xfId="0" applyNumberFormat="1" applyFont="1" applyFill="1" applyBorder="1" applyAlignment="1">
      <alignment vertical="center"/>
    </xf>
    <xf numFmtId="9" fontId="49" fillId="17" borderId="1" xfId="3" applyFont="1" applyFill="1" applyBorder="1" applyAlignment="1">
      <alignment vertical="center"/>
    </xf>
    <xf numFmtId="166" fontId="49" fillId="17" borderId="1" xfId="2" applyFont="1" applyFill="1" applyBorder="1" applyAlignment="1">
      <alignment horizontal="center" vertical="center"/>
    </xf>
    <xf numFmtId="2" fontId="49" fillId="17" borderId="1" xfId="0" applyNumberFormat="1" applyFont="1" applyFill="1" applyBorder="1" applyAlignment="1">
      <alignment horizontal="center" vertical="center"/>
    </xf>
    <xf numFmtId="167" fontId="7" fillId="0" borderId="0" xfId="0" applyNumberFormat="1" applyFont="1" applyFill="1" applyBorder="1" applyAlignment="1">
      <alignment vertical="center"/>
    </xf>
    <xf numFmtId="171" fontId="6" fillId="24" borderId="2" xfId="3" applyNumberFormat="1" applyFont="1" applyFill="1" applyBorder="1" applyAlignment="1">
      <alignment horizontal="center" vertical="center"/>
    </xf>
    <xf numFmtId="167" fontId="6" fillId="24" borderId="1" xfId="0" applyNumberFormat="1" applyFont="1" applyFill="1" applyBorder="1" applyAlignment="1">
      <alignment vertical="center"/>
    </xf>
    <xf numFmtId="167" fontId="18" fillId="0" borderId="1" xfId="0" applyNumberFormat="1" applyFont="1" applyFill="1" applyBorder="1" applyAlignment="1">
      <alignment vertical="center"/>
    </xf>
    <xf numFmtId="167" fontId="1" fillId="5" borderId="4" xfId="0" applyNumberFormat="1" applyFont="1" applyFill="1" applyBorder="1" applyAlignment="1">
      <alignment vertical="center"/>
    </xf>
    <xf numFmtId="172" fontId="6" fillId="24" borderId="28" xfId="0" applyNumberFormat="1" applyFont="1" applyFill="1" applyBorder="1" applyAlignment="1">
      <alignment vertical="center"/>
    </xf>
    <xf numFmtId="169" fontId="6" fillId="24" borderId="1" xfId="0" applyNumberFormat="1" applyFont="1" applyFill="1" applyBorder="1" applyAlignment="1">
      <alignment vertical="center"/>
    </xf>
    <xf numFmtId="17" fontId="18" fillId="8" borderId="2" xfId="0" applyNumberFormat="1" applyFont="1" applyFill="1" applyBorder="1" applyAlignment="1">
      <alignment horizontal="center" vertical="center" wrapText="1"/>
    </xf>
    <xf numFmtId="0" fontId="14" fillId="3" borderId="25" xfId="0" applyFont="1" applyFill="1" applyBorder="1" applyAlignment="1">
      <alignment horizontal="left" vertical="center"/>
    </xf>
    <xf numFmtId="0" fontId="14" fillId="3" borderId="9" xfId="0" applyFont="1" applyFill="1" applyBorder="1" applyAlignment="1">
      <alignment horizontal="left" vertical="center" wrapText="1"/>
    </xf>
    <xf numFmtId="0" fontId="14" fillId="3" borderId="9" xfId="0" applyFont="1" applyFill="1" applyBorder="1" applyAlignment="1">
      <alignment vertical="center" wrapText="1"/>
    </xf>
    <xf numFmtId="0" fontId="14" fillId="3" borderId="32" xfId="0" applyFont="1" applyFill="1" applyBorder="1" applyAlignment="1">
      <alignment vertical="center" wrapText="1"/>
    </xf>
    <xf numFmtId="165" fontId="22" fillId="3" borderId="4" xfId="2" applyNumberFormat="1" applyFont="1" applyFill="1" applyBorder="1" applyAlignment="1">
      <alignment horizontal="center" vertical="center"/>
    </xf>
    <xf numFmtId="165" fontId="5" fillId="3" borderId="4" xfId="2" applyNumberFormat="1" applyFont="1" applyFill="1" applyBorder="1" applyAlignment="1">
      <alignment horizontal="center" vertical="center"/>
    </xf>
    <xf numFmtId="165" fontId="6" fillId="3" borderId="32" xfId="2" applyNumberFormat="1" applyFont="1" applyFill="1" applyBorder="1" applyAlignment="1">
      <alignment vertical="center"/>
    </xf>
    <xf numFmtId="165" fontId="6" fillId="3" borderId="4" xfId="2" applyNumberFormat="1" applyFont="1" applyFill="1" applyBorder="1" applyAlignment="1">
      <alignment vertical="center"/>
    </xf>
    <xf numFmtId="44" fontId="6" fillId="9" borderId="1" xfId="0" applyNumberFormat="1" applyFont="1" applyFill="1" applyBorder="1" applyAlignment="1">
      <alignment vertical="center"/>
    </xf>
    <xf numFmtId="0" fontId="8" fillId="2" borderId="0" xfId="0" applyFont="1" applyFill="1"/>
    <xf numFmtId="168" fontId="49" fillId="12" borderId="1" xfId="0" applyNumberFormat="1" applyFont="1" applyFill="1" applyBorder="1" applyAlignment="1">
      <alignment horizontal="center" vertical="center"/>
    </xf>
    <xf numFmtId="171" fontId="6" fillId="2" borderId="0" xfId="3" applyNumberFormat="1" applyFont="1" applyFill="1" applyBorder="1" applyAlignment="1">
      <alignment horizontal="center" vertical="center"/>
    </xf>
    <xf numFmtId="171" fontId="6" fillId="2" borderId="0" xfId="3" applyNumberFormat="1" applyFont="1" applyFill="1" applyBorder="1" applyAlignment="1">
      <alignment vertical="center"/>
    </xf>
    <xf numFmtId="171" fontId="6" fillId="2" borderId="0" xfId="3" applyNumberFormat="1" applyFont="1" applyFill="1" applyAlignment="1">
      <alignment horizontal="center" vertical="center"/>
    </xf>
    <xf numFmtId="171" fontId="49" fillId="2" borderId="0" xfId="3" applyNumberFormat="1" applyFont="1" applyFill="1" applyBorder="1" applyAlignment="1">
      <alignment horizontal="center" vertical="center"/>
    </xf>
    <xf numFmtId="171" fontId="49" fillId="0" borderId="0" xfId="3" applyNumberFormat="1" applyFont="1" applyBorder="1" applyAlignment="1">
      <alignment horizontal="center" vertical="center"/>
    </xf>
    <xf numFmtId="166" fontId="0" fillId="2" borderId="0" xfId="0" applyNumberFormat="1" applyFill="1"/>
    <xf numFmtId="166" fontId="1" fillId="0" borderId="1" xfId="2" applyFont="1" applyFill="1" applyBorder="1" applyAlignment="1">
      <alignment horizontal="center" vertical="center"/>
    </xf>
    <xf numFmtId="0" fontId="22" fillId="2" borderId="0" xfId="0" applyFont="1" applyFill="1"/>
    <xf numFmtId="44" fontId="22" fillId="2" borderId="0" xfId="0" applyNumberFormat="1" applyFont="1" applyFill="1"/>
    <xf numFmtId="166" fontId="22" fillId="0" borderId="0" xfId="2" applyFont="1" applyAlignment="1">
      <alignment vertical="center"/>
    </xf>
    <xf numFmtId="0" fontId="0" fillId="0" borderId="1" xfId="0" applyFill="1" applyBorder="1" applyAlignment="1">
      <alignment vertical="center"/>
    </xf>
    <xf numFmtId="166" fontId="5" fillId="0" borderId="1" xfId="2" applyFont="1" applyFill="1" applyBorder="1" applyAlignment="1">
      <alignment horizontal="center" vertical="center"/>
    </xf>
    <xf numFmtId="44" fontId="0" fillId="0" borderId="0" xfId="0" applyNumberFormat="1" applyAlignment="1">
      <alignment vertical="center" wrapText="1"/>
    </xf>
    <xf numFmtId="166" fontId="0" fillId="0" borderId="1" xfId="2" applyFont="1" applyBorder="1" applyAlignment="1">
      <alignment vertical="center"/>
    </xf>
    <xf numFmtId="166" fontId="52" fillId="0" borderId="1" xfId="2" applyFont="1" applyBorder="1" applyAlignment="1">
      <alignment vertical="center"/>
    </xf>
    <xf numFmtId="0" fontId="22" fillId="0" borderId="0" xfId="0" applyFont="1" applyAlignment="1">
      <alignment horizontal="left" vertical="center" wrapText="1"/>
    </xf>
    <xf numFmtId="166" fontId="22" fillId="0" borderId="1" xfId="2" applyFont="1" applyFill="1" applyBorder="1" applyAlignment="1">
      <alignment horizontal="center" vertical="center"/>
    </xf>
    <xf numFmtId="166" fontId="22" fillId="0" borderId="1" xfId="2" applyFont="1" applyBorder="1" applyAlignment="1">
      <alignment vertical="center"/>
    </xf>
    <xf numFmtId="43" fontId="12" fillId="2" borderId="0" xfId="0" applyNumberFormat="1" applyFont="1" applyFill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44" fontId="0" fillId="0" borderId="0" xfId="0" applyNumberFormat="1" applyAlignment="1">
      <alignment vertical="center"/>
    </xf>
    <xf numFmtId="13" fontId="5" fillId="0" borderId="1" xfId="2" applyNumberFormat="1" applyFont="1" applyBorder="1" applyAlignment="1">
      <alignment horizontal="center" vertical="center"/>
    </xf>
    <xf numFmtId="165" fontId="12" fillId="2" borderId="0" xfId="0" applyNumberFormat="1" applyFont="1" applyFill="1" applyAlignment="1">
      <alignment horizontal="center" vertical="center"/>
    </xf>
    <xf numFmtId="165" fontId="9" fillId="2" borderId="0" xfId="0" applyNumberFormat="1" applyFont="1" applyFill="1" applyAlignment="1">
      <alignment horizontal="center" vertical="center"/>
    </xf>
    <xf numFmtId="165" fontId="10" fillId="2" borderId="0" xfId="0" applyNumberFormat="1" applyFont="1" applyFill="1" applyAlignment="1">
      <alignment horizontal="center" vertical="center"/>
    </xf>
    <xf numFmtId="165" fontId="11" fillId="2" borderId="0" xfId="0" applyNumberFormat="1" applyFont="1" applyFill="1" applyAlignment="1">
      <alignment horizontal="center" vertical="center"/>
    </xf>
    <xf numFmtId="165" fontId="8" fillId="28" borderId="1" xfId="2" applyNumberFormat="1" applyFont="1" applyFill="1" applyBorder="1" applyAlignment="1">
      <alignment horizontal="center" vertical="center"/>
    </xf>
    <xf numFmtId="165" fontId="1" fillId="20" borderId="1" xfId="2" applyNumberFormat="1" applyFont="1" applyFill="1" applyBorder="1" applyAlignment="1">
      <alignment horizontal="center" vertical="center"/>
    </xf>
    <xf numFmtId="165" fontId="1" fillId="15" borderId="1" xfId="2" applyNumberFormat="1" applyFont="1" applyFill="1" applyBorder="1" applyAlignment="1">
      <alignment horizontal="center" vertical="center"/>
    </xf>
    <xf numFmtId="0" fontId="53" fillId="0" borderId="1" xfId="0" applyFont="1" applyBorder="1" applyAlignment="1">
      <alignment vertical="center" wrapText="1"/>
    </xf>
    <xf numFmtId="165" fontId="1" fillId="29" borderId="1" xfId="2" applyNumberFormat="1" applyFont="1" applyFill="1" applyBorder="1" applyAlignment="1">
      <alignment horizontal="center" vertical="center"/>
    </xf>
    <xf numFmtId="166" fontId="38" fillId="20" borderId="1" xfId="2" applyFont="1" applyFill="1" applyBorder="1" applyAlignment="1">
      <alignment vertical="center" wrapText="1"/>
    </xf>
    <xf numFmtId="166" fontId="53" fillId="0" borderId="1" xfId="2" applyFont="1" applyFill="1" applyBorder="1" applyAlignment="1">
      <alignment vertical="center" wrapText="1"/>
    </xf>
    <xf numFmtId="165" fontId="1" fillId="27" borderId="1" xfId="2" applyNumberFormat="1" applyFont="1" applyFill="1" applyBorder="1" applyAlignment="1">
      <alignment horizontal="center" vertical="center"/>
    </xf>
    <xf numFmtId="0" fontId="54" fillId="0" borderId="1" xfId="0" applyFont="1" applyBorder="1" applyAlignment="1">
      <alignment vertical="center" wrapText="1"/>
    </xf>
    <xf numFmtId="166" fontId="54" fillId="0" borderId="1" xfId="2" applyFont="1" applyFill="1" applyBorder="1" applyAlignment="1">
      <alignment vertical="center" wrapText="1"/>
    </xf>
    <xf numFmtId="44" fontId="14" fillId="2" borderId="0" xfId="0" applyNumberFormat="1" applyFont="1" applyFill="1" applyAlignment="1">
      <alignment horizontal="center" vertical="center"/>
    </xf>
    <xf numFmtId="166" fontId="22" fillId="8" borderId="1" xfId="2" applyFont="1" applyFill="1" applyBorder="1" applyAlignment="1">
      <alignment horizontal="center" vertical="center"/>
    </xf>
    <xf numFmtId="166" fontId="1" fillId="0" borderId="1" xfId="2" applyFont="1" applyFill="1" applyBorder="1" applyAlignment="1">
      <alignment horizontal="left" vertical="center" wrapText="1"/>
    </xf>
    <xf numFmtId="165" fontId="22" fillId="29" borderId="1" xfId="2" applyNumberFormat="1" applyFont="1" applyFill="1" applyBorder="1" applyAlignment="1">
      <alignment horizontal="center" vertical="center"/>
    </xf>
    <xf numFmtId="165" fontId="22" fillId="0" borderId="1" xfId="2" applyNumberFormat="1" applyFont="1" applyBorder="1" applyAlignment="1">
      <alignment horizontal="center" vertical="center"/>
    </xf>
    <xf numFmtId="165" fontId="22" fillId="0" borderId="1" xfId="2" applyNumberFormat="1" applyFont="1" applyFill="1" applyBorder="1" applyAlignment="1">
      <alignment horizontal="center" vertical="center"/>
    </xf>
    <xf numFmtId="44" fontId="22" fillId="0" borderId="0" xfId="0" applyNumberFormat="1" applyFont="1" applyAlignment="1">
      <alignment vertical="center"/>
    </xf>
    <xf numFmtId="44" fontId="22" fillId="0" borderId="1" xfId="0" applyNumberFormat="1" applyFont="1" applyBorder="1" applyAlignment="1">
      <alignment vertical="center"/>
    </xf>
    <xf numFmtId="44" fontId="0" fillId="0" borderId="0" xfId="0" applyNumberFormat="1"/>
    <xf numFmtId="0" fontId="50" fillId="0" borderId="0" xfId="0" applyFont="1"/>
    <xf numFmtId="44" fontId="50" fillId="0" borderId="1" xfId="0" applyNumberFormat="1" applyFont="1" applyFill="1" applyBorder="1" applyAlignment="1">
      <alignment horizontal="center"/>
    </xf>
    <xf numFmtId="44" fontId="50" fillId="0" borderId="1" xfId="0" applyNumberFormat="1" applyFont="1" applyFill="1" applyBorder="1"/>
    <xf numFmtId="44" fontId="50" fillId="0" borderId="1" xfId="2" applyNumberFormat="1" applyFont="1" applyFill="1" applyBorder="1" applyAlignment="1">
      <alignment vertical="center"/>
    </xf>
    <xf numFmtId="44" fontId="51" fillId="12" borderId="1" xfId="0" applyNumberFormat="1" applyFont="1" applyFill="1" applyBorder="1" applyAlignment="1">
      <alignment horizontal="left"/>
    </xf>
    <xf numFmtId="44" fontId="46" fillId="12" borderId="1" xfId="0" applyNumberFormat="1" applyFont="1" applyFill="1" applyBorder="1" applyAlignment="1">
      <alignment horizontal="left"/>
    </xf>
    <xf numFmtId="44" fontId="22" fillId="0" borderId="1" xfId="0" applyNumberFormat="1" applyFont="1" applyFill="1" applyBorder="1" applyAlignment="1">
      <alignment horizontal="center"/>
    </xf>
    <xf numFmtId="44" fontId="22" fillId="0" borderId="1" xfId="0" applyNumberFormat="1" applyFont="1" applyFill="1" applyBorder="1"/>
    <xf numFmtId="44" fontId="42" fillId="12" borderId="1" xfId="0" applyNumberFormat="1" applyFont="1" applyFill="1" applyBorder="1" applyAlignment="1">
      <alignment horizontal="left"/>
    </xf>
    <xf numFmtId="44" fontId="38" fillId="0" borderId="1" xfId="0" applyNumberFormat="1" applyFont="1" applyFill="1" applyBorder="1" applyAlignment="1">
      <alignment horizontal="center"/>
    </xf>
    <xf numFmtId="44" fontId="38" fillId="0" borderId="1" xfId="0" applyNumberFormat="1" applyFont="1" applyFill="1" applyBorder="1"/>
    <xf numFmtId="166" fontId="55" fillId="0" borderId="1" xfId="2" applyFont="1" applyFill="1" applyBorder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44" fontId="50" fillId="0" borderId="1" xfId="0" applyNumberFormat="1" applyFont="1" applyFill="1" applyBorder="1" applyAlignment="1">
      <alignment horizontal="left" indent="1"/>
    </xf>
    <xf numFmtId="44" fontId="50" fillId="0" borderId="1" xfId="2" applyNumberFormat="1" applyFont="1" applyFill="1" applyBorder="1" applyAlignment="1">
      <alignment horizontal="left" vertical="center" indent="1"/>
    </xf>
    <xf numFmtId="44" fontId="22" fillId="0" borderId="1" xfId="0" applyNumberFormat="1" applyFont="1" applyFill="1" applyBorder="1" applyAlignment="1">
      <alignment horizontal="left" indent="1"/>
    </xf>
    <xf numFmtId="44" fontId="38" fillId="0" borderId="1" xfId="0" applyNumberFormat="1" applyFont="1" applyFill="1" applyBorder="1" applyAlignment="1">
      <alignment horizontal="left" indent="1"/>
    </xf>
    <xf numFmtId="44" fontId="0" fillId="0" borderId="0" xfId="0" applyNumberFormat="1" applyAlignment="1">
      <alignment horizontal="left" indent="1"/>
    </xf>
    <xf numFmtId="44" fontId="50" fillId="0" borderId="1" xfId="0" applyNumberFormat="1" applyFont="1" applyFill="1" applyBorder="1" applyAlignment="1">
      <alignment horizontal="center" wrapText="1"/>
    </xf>
    <xf numFmtId="44" fontId="50" fillId="0" borderId="1" xfId="0" applyNumberFormat="1" applyFont="1" applyFill="1" applyBorder="1" applyAlignment="1">
      <alignment wrapText="1"/>
    </xf>
    <xf numFmtId="44" fontId="50" fillId="0" borderId="1" xfId="2" applyNumberFormat="1" applyFont="1" applyFill="1" applyBorder="1" applyAlignment="1">
      <alignment vertical="center" wrapText="1"/>
    </xf>
    <xf numFmtId="44" fontId="38" fillId="0" borderId="1" xfId="0" applyNumberFormat="1" applyFont="1" applyFill="1" applyBorder="1" applyAlignment="1">
      <alignment horizontal="center" wrapText="1"/>
    </xf>
    <xf numFmtId="44" fontId="38" fillId="0" borderId="1" xfId="0" applyNumberFormat="1" applyFont="1" applyFill="1" applyBorder="1" applyAlignment="1">
      <alignment wrapText="1"/>
    </xf>
    <xf numFmtId="44" fontId="0" fillId="0" borderId="0" xfId="0" applyNumberFormat="1" applyAlignment="1">
      <alignment wrapText="1"/>
    </xf>
    <xf numFmtId="165" fontId="14" fillId="2" borderId="0" xfId="0" applyNumberFormat="1" applyFont="1" applyFill="1" applyAlignment="1">
      <alignment horizontal="center" vertical="center"/>
    </xf>
    <xf numFmtId="0" fontId="7" fillId="3" borderId="1" xfId="0" applyFont="1" applyFill="1" applyBorder="1" applyAlignment="1">
      <alignment horizontal="left"/>
    </xf>
    <xf numFmtId="0" fontId="0" fillId="3" borderId="1" xfId="0" applyFill="1" applyBorder="1"/>
    <xf numFmtId="0" fontId="7" fillId="30" borderId="1" xfId="0" applyFont="1" applyFill="1" applyBorder="1" applyAlignment="1">
      <alignment horizontal="left"/>
    </xf>
    <xf numFmtId="0" fontId="0" fillId="30" borderId="1" xfId="0" applyFill="1" applyBorder="1"/>
    <xf numFmtId="0" fontId="0" fillId="30" borderId="1" xfId="0" applyFill="1" applyBorder="1" applyAlignment="1">
      <alignment horizontal="left"/>
    </xf>
    <xf numFmtId="0" fontId="7" fillId="16" borderId="1" xfId="0" applyFont="1" applyFill="1" applyBorder="1" applyAlignment="1">
      <alignment horizontal="left"/>
    </xf>
    <xf numFmtId="0" fontId="0" fillId="16" borderId="1" xfId="0" applyFill="1" applyBorder="1"/>
    <xf numFmtId="0" fontId="18" fillId="6" borderId="1" xfId="0" applyFont="1" applyFill="1" applyBorder="1" applyAlignment="1">
      <alignment horizontal="center" vertical="center" wrapText="1"/>
    </xf>
    <xf numFmtId="17" fontId="18" fillId="12" borderId="1" xfId="0" applyNumberFormat="1" applyFont="1" applyFill="1" applyBorder="1" applyAlignment="1">
      <alignment horizontal="center" vertical="center" wrapText="1"/>
    </xf>
    <xf numFmtId="17" fontId="18" fillId="12" borderId="1" xfId="0" applyNumberFormat="1" applyFont="1" applyFill="1" applyBorder="1" applyAlignment="1">
      <alignment horizontal="left" vertical="center" wrapText="1" indent="1"/>
    </xf>
    <xf numFmtId="166" fontId="55" fillId="0" borderId="1" xfId="2" applyFont="1" applyFill="1" applyBorder="1" applyAlignment="1">
      <alignment horizontal="left" vertical="center" wrapText="1"/>
    </xf>
    <xf numFmtId="165" fontId="55" fillId="8" borderId="1" xfId="2" applyNumberFormat="1" applyFont="1" applyFill="1" applyBorder="1" applyAlignment="1">
      <alignment vertical="center"/>
    </xf>
    <xf numFmtId="165" fontId="55" fillId="5" borderId="1" xfId="2" applyNumberFormat="1" applyFont="1" applyFill="1" applyBorder="1" applyAlignment="1">
      <alignment vertical="center"/>
    </xf>
    <xf numFmtId="165" fontId="13" fillId="2" borderId="0" xfId="0" applyNumberFormat="1" applyFont="1" applyFill="1" applyAlignment="1">
      <alignment horizontal="center" vertical="center"/>
    </xf>
    <xf numFmtId="0" fontId="50" fillId="0" borderId="0" xfId="0" applyFont="1" applyAlignment="1">
      <alignment vertical="center"/>
    </xf>
    <xf numFmtId="44" fontId="0" fillId="0" borderId="0" xfId="0" applyNumberFormat="1" applyAlignment="1">
      <alignment horizontal="left" vertical="center"/>
    </xf>
    <xf numFmtId="165" fontId="22" fillId="5" borderId="8" xfId="2" applyNumberFormat="1" applyFont="1" applyFill="1" applyBorder="1" applyAlignment="1">
      <alignment horizontal="center" vertical="center"/>
    </xf>
    <xf numFmtId="165" fontId="22" fillId="5" borderId="8" xfId="2" applyNumberFormat="1" applyFont="1" applyFill="1" applyBorder="1" applyAlignment="1">
      <alignment vertical="center"/>
    </xf>
    <xf numFmtId="165" fontId="0" fillId="0" borderId="0" xfId="0" applyNumberFormat="1"/>
    <xf numFmtId="165" fontId="46" fillId="5" borderId="1" xfId="2" applyNumberFormat="1" applyFont="1" applyFill="1" applyBorder="1" applyAlignment="1">
      <alignment horizontal="center" vertical="center"/>
    </xf>
    <xf numFmtId="165" fontId="22" fillId="5" borderId="1" xfId="2" applyNumberFormat="1" applyFont="1" applyFill="1" applyBorder="1" applyAlignment="1">
      <alignment horizontal="center" vertical="center"/>
    </xf>
    <xf numFmtId="165" fontId="22" fillId="5" borderId="1" xfId="2" applyNumberFormat="1" applyFont="1" applyFill="1" applyBorder="1" applyAlignment="1">
      <alignment vertical="center"/>
    </xf>
    <xf numFmtId="0" fontId="0" fillId="0" borderId="0" xfId="0" applyFont="1" applyBorder="1"/>
    <xf numFmtId="0" fontId="6" fillId="6" borderId="1" xfId="0" applyFont="1" applyFill="1" applyBorder="1" applyAlignment="1">
      <alignment horizontal="center" vertical="center" wrapText="1"/>
    </xf>
    <xf numFmtId="0" fontId="6" fillId="31" borderId="1" xfId="0" applyFont="1" applyFill="1" applyBorder="1" applyAlignment="1">
      <alignment horizontal="center" vertical="center" wrapText="1"/>
    </xf>
    <xf numFmtId="44" fontId="6" fillId="31" borderId="1" xfId="0" applyNumberFormat="1" applyFont="1" applyFill="1" applyBorder="1" applyAlignment="1">
      <alignment horizontal="center" vertical="center" wrapText="1"/>
    </xf>
    <xf numFmtId="17" fontId="6" fillId="31" borderId="1" xfId="0" applyNumberFormat="1" applyFont="1" applyFill="1" applyBorder="1" applyAlignment="1">
      <alignment horizontal="center" vertical="center" wrapText="1"/>
    </xf>
    <xf numFmtId="17" fontId="6" fillId="31" borderId="1" xfId="0" applyNumberFormat="1" applyFont="1" applyFill="1" applyBorder="1" applyAlignment="1">
      <alignment horizontal="left" vertical="center" wrapText="1" indent="1"/>
    </xf>
    <xf numFmtId="0" fontId="6" fillId="0" borderId="0" xfId="0" applyFont="1" applyAlignment="1">
      <alignment horizontal="center" vertical="center" wrapText="1"/>
    </xf>
    <xf numFmtId="0" fontId="8" fillId="31" borderId="1" xfId="0" applyFont="1" applyFill="1" applyBorder="1"/>
    <xf numFmtId="44" fontId="6" fillId="31" borderId="1" xfId="0" applyNumberFormat="1" applyFont="1" applyFill="1" applyBorder="1" applyAlignment="1">
      <alignment horizontal="left"/>
    </xf>
    <xf numFmtId="44" fontId="8" fillId="31" borderId="1" xfId="0" applyNumberFormat="1" applyFont="1" applyFill="1" applyBorder="1"/>
    <xf numFmtId="44" fontId="8" fillId="31" borderId="2" xfId="0" applyNumberFormat="1" applyFont="1" applyFill="1" applyBorder="1" applyAlignment="1">
      <alignment wrapText="1"/>
    </xf>
    <xf numFmtId="44" fontId="8" fillId="31" borderId="1" xfId="0" applyNumberFormat="1" applyFont="1" applyFill="1" applyBorder="1" applyAlignment="1">
      <alignment horizontal="left" indent="1"/>
    </xf>
    <xf numFmtId="0" fontId="8" fillId="31" borderId="0" xfId="0" applyFont="1" applyFill="1"/>
    <xf numFmtId="44" fontId="8" fillId="31" borderId="4" xfId="0" applyNumberFormat="1" applyFont="1" applyFill="1" applyBorder="1" applyAlignment="1">
      <alignment horizontal="center" wrapText="1"/>
    </xf>
    <xf numFmtId="0" fontId="8" fillId="0" borderId="0" xfId="0" applyFont="1"/>
    <xf numFmtId="44" fontId="8" fillId="31" borderId="2" xfId="0" applyNumberFormat="1" applyFont="1" applyFill="1" applyBorder="1"/>
    <xf numFmtId="44" fontId="22" fillId="0" borderId="2" xfId="0" applyNumberFormat="1" applyFont="1" applyFill="1" applyBorder="1" applyAlignment="1">
      <alignment horizontal="center"/>
    </xf>
    <xf numFmtId="44" fontId="22" fillId="0" borderId="3" xfId="0" applyNumberFormat="1" applyFont="1" applyFill="1" applyBorder="1" applyAlignment="1">
      <alignment horizontal="center"/>
    </xf>
    <xf numFmtId="44" fontId="22" fillId="0" borderId="4" xfId="0" applyNumberFormat="1" applyFont="1" applyFill="1" applyBorder="1"/>
    <xf numFmtId="44" fontId="22" fillId="0" borderId="2" xfId="0" applyNumberFormat="1" applyFont="1" applyFill="1" applyBorder="1"/>
    <xf numFmtId="44" fontId="22" fillId="0" borderId="3" xfId="0" applyNumberFormat="1" applyFont="1" applyFill="1" applyBorder="1"/>
    <xf numFmtId="44" fontId="8" fillId="31" borderId="4" xfId="0" applyNumberFormat="1" applyFont="1" applyFill="1" applyBorder="1"/>
    <xf numFmtId="165" fontId="46" fillId="5" borderId="1" xfId="2" applyNumberFormat="1" applyFont="1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44" fontId="7" fillId="2" borderId="0" xfId="0" applyNumberFormat="1" applyFont="1" applyFill="1"/>
    <xf numFmtId="172" fontId="0" fillId="2" borderId="1" xfId="0" applyNumberFormat="1" applyFill="1" applyBorder="1"/>
    <xf numFmtId="165" fontId="5" fillId="2" borderId="1" xfId="2" applyNumberFormat="1" applyFont="1" applyFill="1" applyBorder="1"/>
    <xf numFmtId="167" fontId="0" fillId="8" borderId="1" xfId="0" applyNumberFormat="1" applyFill="1" applyBorder="1" applyAlignment="1">
      <alignment vertical="center"/>
    </xf>
    <xf numFmtId="44" fontId="0" fillId="2" borderId="1" xfId="0" applyNumberFormat="1" applyFill="1" applyBorder="1"/>
    <xf numFmtId="172" fontId="0" fillId="2" borderId="0" xfId="0" applyNumberFormat="1" applyFill="1"/>
    <xf numFmtId="0" fontId="6" fillId="24" borderId="1" xfId="0" applyFont="1" applyFill="1" applyBorder="1" applyAlignment="1">
      <alignment horizontal="center"/>
    </xf>
    <xf numFmtId="172" fontId="7" fillId="32" borderId="1" xfId="0" applyNumberFormat="1" applyFont="1" applyFill="1" applyBorder="1"/>
    <xf numFmtId="44" fontId="6" fillId="2" borderId="0" xfId="0" applyNumberFormat="1" applyFont="1" applyFill="1" applyAlignment="1">
      <alignment horizontal="center"/>
    </xf>
    <xf numFmtId="44" fontId="6" fillId="2" borderId="0" xfId="0" applyNumberFormat="1" applyFont="1" applyFill="1"/>
    <xf numFmtId="44" fontId="6" fillId="2" borderId="0" xfId="2" applyNumberFormat="1" applyFont="1" applyFill="1"/>
    <xf numFmtId="44" fontId="8" fillId="2" borderId="0" xfId="0" applyNumberFormat="1" applyFont="1" applyFill="1"/>
    <xf numFmtId="0" fontId="8" fillId="2" borderId="0" xfId="0" applyFont="1" applyFill="1" applyAlignment="1">
      <alignment horizontal="center"/>
    </xf>
    <xf numFmtId="44" fontId="1" fillId="2" borderId="0" xfId="0" applyNumberFormat="1" applyFont="1" applyFill="1"/>
    <xf numFmtId="0" fontId="22" fillId="0" borderId="0" xfId="0" applyFont="1" applyAlignment="1">
      <alignment vertical="center"/>
    </xf>
    <xf numFmtId="165" fontId="0" fillId="0" borderId="0" xfId="0" applyNumberFormat="1" applyAlignment="1">
      <alignment vertical="center"/>
    </xf>
    <xf numFmtId="165" fontId="0" fillId="2" borderId="0" xfId="0" applyNumberFormat="1" applyFill="1" applyAlignment="1">
      <alignment vertical="center"/>
    </xf>
    <xf numFmtId="165" fontId="22" fillId="0" borderId="0" xfId="0" applyNumberFormat="1" applyFont="1" applyAlignment="1">
      <alignment vertical="center"/>
    </xf>
    <xf numFmtId="0" fontId="7" fillId="2" borderId="0" xfId="0" applyFont="1" applyFill="1"/>
    <xf numFmtId="0" fontId="7" fillId="0" borderId="0" xfId="0" applyFont="1" applyAlignment="1">
      <alignment horizontal="center" vertical="center" wrapText="1"/>
    </xf>
    <xf numFmtId="0" fontId="0" fillId="0" borderId="1" xfId="0" applyBorder="1"/>
    <xf numFmtId="44" fontId="56" fillId="0" borderId="1" xfId="5" applyNumberFormat="1" applyFont="1" applyBorder="1" applyAlignment="1">
      <alignment horizontal="center" vertical="center" wrapText="1"/>
    </xf>
    <xf numFmtId="44" fontId="4" fillId="0" borderId="1" xfId="5" applyNumberFormat="1" applyFont="1" applyBorder="1" applyAlignment="1">
      <alignment horizontal="center" vertical="center" wrapText="1"/>
    </xf>
    <xf numFmtId="49" fontId="4" fillId="23" borderId="1" xfId="1" applyNumberFormat="1" applyFont="1" applyFill="1" applyBorder="1" applyAlignment="1">
      <alignment horizontal="center" vertical="center" wrapText="1"/>
    </xf>
    <xf numFmtId="0" fontId="4" fillId="23" borderId="1" xfId="1" applyFont="1" applyFill="1" applyBorder="1" applyAlignment="1">
      <alignment horizontal="left" vertical="center" wrapText="1"/>
    </xf>
    <xf numFmtId="49" fontId="7" fillId="23" borderId="1" xfId="0" applyNumberFormat="1" applyFont="1" applyFill="1" applyBorder="1" applyAlignment="1">
      <alignment horizontal="center" vertical="center"/>
    </xf>
    <xf numFmtId="0" fontId="7" fillId="23" borderId="1" xfId="0" applyFont="1" applyFill="1" applyBorder="1" applyAlignment="1">
      <alignment vertical="center" wrapText="1"/>
    </xf>
    <xf numFmtId="44" fontId="4" fillId="0" borderId="5" xfId="5" applyNumberFormat="1" applyFont="1" applyBorder="1" applyAlignment="1">
      <alignment horizontal="center" vertical="center" wrapText="1"/>
    </xf>
    <xf numFmtId="49" fontId="0" fillId="23" borderId="1" xfId="0" applyNumberFormat="1" applyFill="1" applyBorder="1" applyAlignment="1">
      <alignment horizontal="center" vertical="center"/>
    </xf>
    <xf numFmtId="0" fontId="0" fillId="23" borderId="1" xfId="0" applyFill="1" applyBorder="1" applyAlignment="1">
      <alignment vertical="center" wrapText="1"/>
    </xf>
    <xf numFmtId="44" fontId="4" fillId="23" borderId="1" xfId="5" applyNumberFormat="1" applyFont="1" applyFill="1" applyBorder="1" applyAlignment="1">
      <alignment horizontal="center" vertical="center" wrapText="1"/>
    </xf>
    <xf numFmtId="0" fontId="6" fillId="33" borderId="1" xfId="0" applyFont="1" applyFill="1" applyBorder="1" applyAlignment="1">
      <alignment horizontal="center" vertical="center" wrapText="1"/>
    </xf>
    <xf numFmtId="165" fontId="4" fillId="0" borderId="1" xfId="4" applyFont="1" applyFill="1" applyBorder="1" applyAlignment="1">
      <alignment horizontal="center" vertical="center" wrapText="1"/>
    </xf>
    <xf numFmtId="165" fontId="0" fillId="0" borderId="0" xfId="0" applyNumberFormat="1" applyBorder="1" applyAlignment="1">
      <alignment vertical="center"/>
    </xf>
    <xf numFmtId="49" fontId="4" fillId="12" borderId="1" xfId="1" applyNumberFormat="1" applyFont="1" applyFill="1" applyBorder="1" applyAlignment="1">
      <alignment horizontal="center" vertical="center" wrapText="1"/>
    </xf>
    <xf numFmtId="0" fontId="4" fillId="12" borderId="1" xfId="1" applyFont="1" applyFill="1" applyBorder="1" applyAlignment="1">
      <alignment horizontal="left" vertical="center" wrapText="1"/>
    </xf>
    <xf numFmtId="165" fontId="4" fillId="12" borderId="1" xfId="4" applyFont="1" applyFill="1" applyBorder="1" applyAlignment="1">
      <alignment horizontal="center" vertical="center" wrapText="1"/>
    </xf>
    <xf numFmtId="0" fontId="6" fillId="34" borderId="1" xfId="0" applyFont="1" applyFill="1" applyBorder="1" applyAlignment="1">
      <alignment horizontal="center" vertical="center" wrapText="1"/>
    </xf>
    <xf numFmtId="0" fontId="6" fillId="34" borderId="2" xfId="0" applyFont="1" applyFill="1" applyBorder="1" applyAlignment="1">
      <alignment horizontal="center" vertical="center" wrapText="1"/>
    </xf>
    <xf numFmtId="44" fontId="1" fillId="23" borderId="1" xfId="0" applyNumberFormat="1" applyFont="1" applyFill="1" applyBorder="1"/>
    <xf numFmtId="44" fontId="50" fillId="0" borderId="1" xfId="0" applyNumberFormat="1" applyFont="1" applyBorder="1"/>
    <xf numFmtId="44" fontId="50" fillId="23" borderId="1" xfId="0" applyNumberFormat="1" applyFont="1" applyFill="1" applyBorder="1"/>
    <xf numFmtId="44" fontId="50" fillId="0" borderId="1" xfId="0" applyNumberFormat="1" applyFont="1" applyBorder="1" applyAlignment="1">
      <alignment vertical="center"/>
    </xf>
    <xf numFmtId="165" fontId="50" fillId="0" borderId="1" xfId="0" applyNumberFormat="1" applyFont="1" applyBorder="1" applyAlignment="1">
      <alignment vertical="center"/>
    </xf>
    <xf numFmtId="44" fontId="56" fillId="23" borderId="1" xfId="5" applyNumberFormat="1" applyFont="1" applyFill="1" applyBorder="1" applyAlignment="1">
      <alignment horizontal="center" vertical="center" wrapText="1"/>
    </xf>
    <xf numFmtId="0" fontId="0" fillId="23" borderId="1" xfId="0" applyFill="1" applyBorder="1" applyAlignment="1">
      <alignment vertical="center"/>
    </xf>
    <xf numFmtId="165" fontId="0" fillId="23" borderId="1" xfId="0" applyNumberFormat="1" applyFill="1" applyBorder="1" applyAlignment="1">
      <alignment vertical="center"/>
    </xf>
    <xf numFmtId="165" fontId="50" fillId="23" borderId="1" xfId="0" applyNumberFormat="1" applyFont="1" applyFill="1" applyBorder="1" applyAlignment="1">
      <alignment vertical="center"/>
    </xf>
    <xf numFmtId="165" fontId="56" fillId="12" borderId="1" xfId="4" applyFont="1" applyFill="1" applyBorder="1" applyAlignment="1">
      <alignment horizontal="center" vertical="center" wrapText="1"/>
    </xf>
    <xf numFmtId="165" fontId="51" fillId="34" borderId="1" xfId="0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18" fillId="37" borderId="1" xfId="0" applyFont="1" applyFill="1" applyBorder="1" applyAlignment="1">
      <alignment horizontal="center" vertical="center" wrapText="1"/>
    </xf>
    <xf numFmtId="0" fontId="6" fillId="26" borderId="1" xfId="0" applyFont="1" applyFill="1" applyBorder="1" applyAlignment="1">
      <alignment horizontal="center" vertical="center" wrapText="1"/>
    </xf>
    <xf numFmtId="0" fontId="6" fillId="26" borderId="2" xfId="0" applyFont="1" applyFill="1" applyBorder="1" applyAlignment="1">
      <alignment horizontal="center" vertical="center" wrapText="1"/>
    </xf>
    <xf numFmtId="165" fontId="51" fillId="26" borderId="1" xfId="0" applyNumberFormat="1" applyFont="1" applyFill="1" applyBorder="1" applyAlignment="1">
      <alignment horizontal="center" vertical="center" wrapText="1"/>
    </xf>
    <xf numFmtId="0" fontId="18" fillId="37" borderId="8" xfId="0" applyFont="1" applyFill="1" applyBorder="1" applyAlignment="1">
      <alignment horizontal="center" vertical="center" wrapText="1"/>
    </xf>
    <xf numFmtId="166" fontId="46" fillId="21" borderId="1" xfId="2" applyFont="1" applyFill="1" applyBorder="1" applyAlignment="1">
      <alignment horizontal="center" vertical="center"/>
    </xf>
    <xf numFmtId="166" fontId="46" fillId="21" borderId="1" xfId="2" applyFont="1" applyFill="1" applyBorder="1" applyAlignment="1">
      <alignment horizontal="center" vertical="center" wrapText="1"/>
    </xf>
    <xf numFmtId="166" fontId="46" fillId="21" borderId="1" xfId="2" applyFont="1" applyFill="1" applyBorder="1" applyAlignment="1">
      <alignment horizontal="left" vertical="center" wrapText="1"/>
    </xf>
    <xf numFmtId="0" fontId="22" fillId="19" borderId="1" xfId="0" applyFont="1" applyFill="1" applyBorder="1" applyAlignment="1">
      <alignment horizontal="left" vertical="center" wrapText="1"/>
    </xf>
    <xf numFmtId="166" fontId="22" fillId="0" borderId="1" xfId="2" applyFont="1" applyFill="1" applyBorder="1" applyAlignment="1">
      <alignment horizontal="left" vertical="center" wrapText="1"/>
    </xf>
    <xf numFmtId="0" fontId="22" fillId="0" borderId="1" xfId="0" applyFont="1" applyFill="1" applyBorder="1" applyAlignment="1">
      <alignment vertical="top" wrapText="1"/>
    </xf>
    <xf numFmtId="0" fontId="7" fillId="17" borderId="0" xfId="0" applyFont="1" applyFill="1" applyAlignment="1">
      <alignment horizontal="center" vertical="center" wrapText="1"/>
    </xf>
    <xf numFmtId="165" fontId="7" fillId="17" borderId="0" xfId="0" applyNumberFormat="1" applyFont="1" applyFill="1" applyAlignment="1">
      <alignment horizontal="center" vertical="center" wrapText="1"/>
    </xf>
    <xf numFmtId="166" fontId="13" fillId="17" borderId="0" xfId="2" applyFont="1" applyFill="1" applyAlignment="1">
      <alignment horizontal="center" vertical="center"/>
    </xf>
    <xf numFmtId="165" fontId="18" fillId="17" borderId="0" xfId="0" applyNumberFormat="1" applyFont="1" applyFill="1" applyAlignment="1">
      <alignment horizontal="center" vertical="center"/>
    </xf>
    <xf numFmtId="166" fontId="59" fillId="2" borderId="0" xfId="0" applyNumberFormat="1" applyFont="1" applyFill="1" applyAlignment="1">
      <alignment horizontal="center" vertical="center"/>
    </xf>
    <xf numFmtId="167" fontId="1" fillId="38" borderId="1" xfId="0" applyNumberFormat="1" applyFont="1" applyFill="1" applyBorder="1" applyAlignment="1">
      <alignment vertical="center"/>
    </xf>
    <xf numFmtId="165" fontId="1" fillId="38" borderId="1" xfId="0" applyNumberFormat="1" applyFont="1" applyFill="1" applyBorder="1"/>
    <xf numFmtId="165" fontId="1" fillId="38" borderId="1" xfId="2" applyNumberFormat="1" applyFont="1" applyFill="1" applyBorder="1" applyAlignment="1">
      <alignment horizontal="center" vertical="center"/>
    </xf>
    <xf numFmtId="166" fontId="1" fillId="38" borderId="1" xfId="2" applyFont="1" applyFill="1" applyBorder="1" applyAlignment="1">
      <alignment horizontal="center" vertical="center"/>
    </xf>
    <xf numFmtId="167" fontId="0" fillId="2" borderId="0" xfId="0" applyNumberFormat="1" applyFill="1"/>
    <xf numFmtId="167" fontId="7" fillId="2" borderId="0" xfId="0" applyNumberFormat="1" applyFont="1" applyFill="1" applyBorder="1" applyAlignment="1">
      <alignment vertical="center"/>
    </xf>
    <xf numFmtId="0" fontId="0" fillId="2" borderId="0" xfId="0" applyFill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66" fontId="1" fillId="0" borderId="1" xfId="2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6" fillId="24" borderId="1" xfId="0" applyFont="1" applyFill="1" applyBorder="1" applyAlignment="1">
      <alignment horizontal="center"/>
    </xf>
    <xf numFmtId="0" fontId="14" fillId="3" borderId="8" xfId="0" applyFont="1" applyFill="1" applyBorder="1" applyAlignment="1">
      <alignment horizontal="left" vertical="center" wrapText="1"/>
    </xf>
    <xf numFmtId="0" fontId="14" fillId="15" borderId="8" xfId="0" applyFont="1" applyFill="1" applyBorder="1" applyAlignment="1">
      <alignment horizontal="left" vertical="center" wrapText="1"/>
    </xf>
    <xf numFmtId="173" fontId="49" fillId="17" borderId="1" xfId="2" applyNumberFormat="1" applyFont="1" applyFill="1" applyBorder="1" applyAlignment="1">
      <alignment horizontal="center" vertical="center"/>
    </xf>
    <xf numFmtId="174" fontId="7" fillId="16" borderId="1" xfId="0" applyNumberFormat="1" applyFont="1" applyFill="1" applyBorder="1" applyAlignment="1">
      <alignment vertical="center"/>
    </xf>
    <xf numFmtId="174" fontId="18" fillId="16" borderId="1" xfId="0" applyNumberFormat="1" applyFont="1" applyFill="1" applyBorder="1" applyAlignment="1">
      <alignment vertical="center"/>
    </xf>
    <xf numFmtId="167" fontId="49" fillId="2" borderId="0" xfId="0" applyNumberFormat="1" applyFont="1" applyFill="1" applyBorder="1" applyAlignment="1">
      <alignment vertical="center"/>
    </xf>
    <xf numFmtId="165" fontId="5" fillId="29" borderId="1" xfId="2" applyNumberFormat="1" applyFont="1" applyFill="1" applyBorder="1" applyAlignment="1">
      <alignment horizontal="center" vertical="center"/>
    </xf>
    <xf numFmtId="49" fontId="0" fillId="0" borderId="1" xfId="0" applyNumberFormat="1" applyBorder="1" applyAlignment="1">
      <alignment vertical="center" wrapText="1"/>
    </xf>
    <xf numFmtId="49" fontId="0" fillId="0" borderId="0" xfId="0" applyNumberFormat="1" applyAlignment="1">
      <alignment vertical="center" wrapText="1"/>
    </xf>
    <xf numFmtId="49" fontId="0" fillId="0" borderId="0" xfId="0" applyNumberFormat="1" applyAlignment="1">
      <alignment wrapText="1"/>
    </xf>
    <xf numFmtId="0" fontId="0" fillId="8" borderId="1" xfId="0" applyFill="1" applyBorder="1" applyAlignment="1">
      <alignment vertical="center"/>
    </xf>
    <xf numFmtId="165" fontId="1" fillId="8" borderId="1" xfId="2" applyNumberFormat="1" applyFont="1" applyFill="1" applyBorder="1" applyAlignment="1">
      <alignment horizontal="center" vertical="center"/>
    </xf>
    <xf numFmtId="0" fontId="7" fillId="26" borderId="1" xfId="0" applyFont="1" applyFill="1" applyBorder="1" applyAlignment="1">
      <alignment horizontal="center" vertical="center"/>
    </xf>
    <xf numFmtId="0" fontId="7" fillId="26" borderId="1" xfId="0" applyFont="1" applyFill="1" applyBorder="1" applyAlignment="1">
      <alignment horizontal="center" vertical="center" wrapText="1"/>
    </xf>
    <xf numFmtId="44" fontId="7" fillId="26" borderId="1" xfId="0" applyNumberFormat="1" applyFont="1" applyFill="1" applyBorder="1" applyAlignment="1">
      <alignment horizontal="center" vertical="center" wrapText="1"/>
    </xf>
    <xf numFmtId="49" fontId="7" fillId="26" borderId="1" xfId="0" applyNumberFormat="1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44" fontId="38" fillId="0" borderId="1" xfId="0" applyNumberFormat="1" applyFont="1" applyFill="1" applyBorder="1" applyAlignment="1">
      <alignment horizontal="center" vertical="center" wrapText="1"/>
    </xf>
    <xf numFmtId="44" fontId="0" fillId="0" borderId="1" xfId="0" applyNumberFormat="1" applyBorder="1"/>
    <xf numFmtId="0" fontId="0" fillId="2" borderId="0" xfId="0" applyFill="1" applyAlignment="1">
      <alignment horizontal="left" vertical="center"/>
    </xf>
    <xf numFmtId="44" fontId="0" fillId="2" borderId="1" xfId="0" applyNumberFormat="1" applyFill="1" applyBorder="1" applyAlignment="1">
      <alignment vertical="center"/>
    </xf>
    <xf numFmtId="167" fontId="7" fillId="32" borderId="1" xfId="0" applyNumberFormat="1" applyFont="1" applyFill="1" applyBorder="1" applyAlignment="1">
      <alignment horizontal="center"/>
    </xf>
    <xf numFmtId="168" fontId="1" fillId="38" borderId="1" xfId="0" applyNumberFormat="1" applyFont="1" applyFill="1" applyBorder="1"/>
    <xf numFmtId="168" fontId="5" fillId="2" borderId="1" xfId="2" applyNumberFormat="1" applyFont="1" applyFill="1" applyBorder="1"/>
    <xf numFmtId="168" fontId="0" fillId="2" borderId="1" xfId="0" applyNumberFormat="1" applyFill="1" applyBorder="1"/>
    <xf numFmtId="168" fontId="7" fillId="32" borderId="1" xfId="0" applyNumberFormat="1" applyFont="1" applyFill="1" applyBorder="1"/>
    <xf numFmtId="168" fontId="0" fillId="2" borderId="1" xfId="0" applyNumberFormat="1" applyFill="1" applyBorder="1" applyAlignment="1">
      <alignment vertical="center"/>
    </xf>
    <xf numFmtId="44" fontId="7" fillId="32" borderId="1" xfId="0" applyNumberFormat="1" applyFont="1" applyFill="1" applyBorder="1" applyAlignment="1">
      <alignment vertical="center"/>
    </xf>
    <xf numFmtId="0" fontId="46" fillId="2" borderId="0" xfId="0" applyFont="1" applyFill="1" applyAlignment="1">
      <alignment horizontal="right"/>
    </xf>
    <xf numFmtId="0" fontId="7" fillId="2" borderId="0" xfId="0" applyFont="1" applyFill="1" applyAlignment="1">
      <alignment vertical="center" wrapText="1"/>
    </xf>
    <xf numFmtId="0" fontId="14" fillId="8" borderId="8" xfId="0" applyFont="1" applyFill="1" applyBorder="1" applyAlignment="1">
      <alignment vertical="center" wrapText="1"/>
    </xf>
    <xf numFmtId="0" fontId="14" fillId="3" borderId="8" xfId="0" applyFont="1" applyFill="1" applyBorder="1" applyAlignment="1">
      <alignment vertical="center" wrapText="1"/>
    </xf>
    <xf numFmtId="166" fontId="7" fillId="0" borderId="0" xfId="0" applyNumberFormat="1" applyFont="1" applyAlignment="1">
      <alignment vertical="center"/>
    </xf>
    <xf numFmtId="44" fontId="46" fillId="32" borderId="1" xfId="0" applyNumberFormat="1" applyFont="1" applyFill="1" applyBorder="1" applyAlignment="1">
      <alignment vertical="center"/>
    </xf>
    <xf numFmtId="167" fontId="46" fillId="32" borderId="1" xfId="0" applyNumberFormat="1" applyFont="1" applyFill="1" applyBorder="1" applyAlignment="1">
      <alignment horizontal="center"/>
    </xf>
    <xf numFmtId="10" fontId="0" fillId="2" borderId="0" xfId="0" applyNumberFormat="1" applyFill="1"/>
    <xf numFmtId="167" fontId="46" fillId="12" borderId="1" xfId="0" applyNumberFormat="1" applyFont="1" applyFill="1" applyBorder="1" applyAlignment="1">
      <alignment vertical="center"/>
    </xf>
    <xf numFmtId="0" fontId="6" fillId="24" borderId="1" xfId="0" applyFont="1" applyFill="1" applyBorder="1" applyAlignment="1">
      <alignment horizontal="center" vertical="center"/>
    </xf>
    <xf numFmtId="0" fontId="0" fillId="2" borderId="0" xfId="0" applyFill="1" applyAlignment="1">
      <alignment horizontal="center"/>
    </xf>
    <xf numFmtId="0" fontId="0" fillId="0" borderId="2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166" fontId="1" fillId="0" borderId="2" xfId="2" applyFont="1" applyFill="1" applyBorder="1" applyAlignment="1">
      <alignment horizontal="center" vertical="center"/>
    </xf>
    <xf numFmtId="166" fontId="24" fillId="9" borderId="1" xfId="2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166" fontId="18" fillId="10" borderId="1" xfId="2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0" fontId="14" fillId="3" borderId="6" xfId="0" applyFont="1" applyFill="1" applyBorder="1" applyAlignment="1">
      <alignment horizontal="left" vertical="center" wrapText="1"/>
    </xf>
    <xf numFmtId="0" fontId="14" fillId="3" borderId="8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14" fillId="15" borderId="6" xfId="0" applyFont="1" applyFill="1" applyBorder="1" applyAlignment="1">
      <alignment horizontal="left" vertical="center" wrapText="1"/>
    </xf>
    <xf numFmtId="0" fontId="14" fillId="15" borderId="8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/>
    </xf>
    <xf numFmtId="44" fontId="6" fillId="2" borderId="0" xfId="0" applyNumberFormat="1" applyFont="1" applyFill="1" applyAlignment="1">
      <alignment vertical="center"/>
    </xf>
    <xf numFmtId="166" fontId="23" fillId="10" borderId="1" xfId="2" applyFont="1" applyFill="1" applyBorder="1" applyAlignment="1">
      <alignment horizontal="left" vertical="center"/>
    </xf>
    <xf numFmtId="166" fontId="23" fillId="10" borderId="1" xfId="2" applyFont="1" applyFill="1" applyBorder="1" applyAlignment="1">
      <alignment horizontal="center" vertical="center"/>
    </xf>
    <xf numFmtId="166" fontId="23" fillId="10" borderId="1" xfId="2" applyFont="1" applyFill="1" applyBorder="1" applyAlignment="1">
      <alignment horizontal="center" vertical="center" wrapText="1"/>
    </xf>
    <xf numFmtId="165" fontId="23" fillId="10" borderId="1" xfId="2" applyNumberFormat="1" applyFont="1" applyFill="1" applyBorder="1" applyAlignment="1">
      <alignment horizontal="center" vertical="center"/>
    </xf>
    <xf numFmtId="165" fontId="23" fillId="10" borderId="8" xfId="2" applyNumberFormat="1" applyFont="1" applyFill="1" applyBorder="1" applyAlignment="1">
      <alignment horizontal="center" vertical="center"/>
    </xf>
    <xf numFmtId="165" fontId="23" fillId="11" borderId="1" xfId="2" applyNumberFormat="1" applyFont="1" applyFill="1" applyBorder="1" applyAlignment="1">
      <alignment horizontal="center" vertical="center"/>
    </xf>
    <xf numFmtId="165" fontId="23" fillId="11" borderId="8" xfId="2" applyNumberFormat="1" applyFont="1" applyFill="1" applyBorder="1" applyAlignment="1">
      <alignment horizontal="center" vertical="center"/>
    </xf>
    <xf numFmtId="166" fontId="23" fillId="11" borderId="1" xfId="2" applyFont="1" applyFill="1" applyBorder="1" applyAlignment="1">
      <alignment horizontal="center" vertical="center"/>
    </xf>
    <xf numFmtId="0" fontId="7" fillId="25" borderId="1" xfId="0" applyFont="1" applyFill="1" applyBorder="1" applyAlignment="1">
      <alignment horizontal="center" vertical="center" wrapText="1"/>
    </xf>
    <xf numFmtId="0" fontId="18" fillId="25" borderId="1" xfId="0" applyFont="1" applyFill="1" applyBorder="1" applyAlignment="1">
      <alignment horizontal="left" vertical="center" wrapText="1"/>
    </xf>
    <xf numFmtId="0" fontId="7" fillId="25" borderId="1" xfId="0" applyFont="1" applyFill="1" applyBorder="1" applyAlignment="1">
      <alignment vertical="center" wrapText="1"/>
    </xf>
    <xf numFmtId="166" fontId="7" fillId="25" borderId="0" xfId="2" applyFont="1" applyFill="1" applyBorder="1" applyAlignment="1">
      <alignment horizontal="center" vertical="center"/>
    </xf>
    <xf numFmtId="0" fontId="7" fillId="12" borderId="1" xfId="0" applyFont="1" applyFill="1" applyBorder="1" applyAlignment="1">
      <alignment vertical="center" wrapText="1"/>
    </xf>
    <xf numFmtId="165" fontId="7" fillId="12" borderId="1" xfId="2" applyNumberFormat="1" applyFont="1" applyFill="1" applyBorder="1" applyAlignment="1">
      <alignment horizontal="center" vertical="center"/>
    </xf>
    <xf numFmtId="0" fontId="18" fillId="12" borderId="1" xfId="0" applyFont="1" applyFill="1" applyBorder="1" applyAlignment="1">
      <alignment vertical="center" wrapText="1"/>
    </xf>
    <xf numFmtId="165" fontId="7" fillId="2" borderId="0" xfId="0" applyNumberFormat="1" applyFont="1" applyFill="1"/>
    <xf numFmtId="165" fontId="14" fillId="2" borderId="0" xfId="0" applyNumberFormat="1" applyFont="1" applyFill="1"/>
    <xf numFmtId="0" fontId="7" fillId="2" borderId="0" xfId="0" applyFont="1" applyFill="1" applyAlignment="1"/>
    <xf numFmtId="165" fontId="14" fillId="2" borderId="0" xfId="0" applyNumberFormat="1" applyFont="1" applyFill="1" applyAlignment="1"/>
    <xf numFmtId="0" fontId="1" fillId="2" borderId="0" xfId="0" applyFont="1" applyFill="1"/>
    <xf numFmtId="44" fontId="8" fillId="2" borderId="0" xfId="0" applyNumberFormat="1" applyFont="1" applyFill="1" applyAlignment="1">
      <alignment horizontal="left" vertical="center"/>
    </xf>
    <xf numFmtId="166" fontId="8" fillId="2" borderId="0" xfId="2" applyFont="1" applyFill="1" applyAlignment="1">
      <alignment vertical="center"/>
    </xf>
    <xf numFmtId="166" fontId="6" fillId="2" borderId="0" xfId="2" applyFont="1" applyFill="1" applyAlignment="1">
      <alignment horizontal="center" vertical="center"/>
    </xf>
    <xf numFmtId="44" fontId="8" fillId="2" borderId="0" xfId="2" applyNumberFormat="1" applyFont="1" applyFill="1" applyAlignment="1">
      <alignment vertical="center"/>
    </xf>
    <xf numFmtId="0" fontId="8" fillId="2" borderId="0" xfId="0" applyFont="1" applyFill="1" applyAlignment="1">
      <alignment horizontal="center" vertical="center"/>
    </xf>
    <xf numFmtId="44" fontId="8" fillId="2" borderId="0" xfId="0" applyNumberFormat="1" applyFont="1" applyFill="1" applyAlignment="1">
      <alignment vertical="center"/>
    </xf>
    <xf numFmtId="0" fontId="8" fillId="2" borderId="0" xfId="0" applyFont="1" applyFill="1" applyAlignment="1">
      <alignment vertical="center" wrapText="1"/>
    </xf>
    <xf numFmtId="0" fontId="8" fillId="2" borderId="0" xfId="0" applyFont="1" applyFill="1" applyAlignment="1">
      <alignment horizontal="left" vertical="center"/>
    </xf>
    <xf numFmtId="166" fontId="8" fillId="2" borderId="0" xfId="0" applyNumberFormat="1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7" fillId="2" borderId="1" xfId="0" applyFont="1" applyFill="1" applyBorder="1" applyAlignment="1">
      <alignment horizontal="left"/>
    </xf>
    <xf numFmtId="0" fontId="7" fillId="2" borderId="1" xfId="0" applyFont="1" applyFill="1" applyBorder="1"/>
    <xf numFmtId="0" fontId="7" fillId="0" borderId="1" xfId="0" applyFont="1" applyBorder="1" applyAlignment="1">
      <alignment vertical="center"/>
    </xf>
    <xf numFmtId="0" fontId="7" fillId="38" borderId="1" xfId="0" applyFont="1" applyFill="1" applyBorder="1" applyAlignment="1">
      <alignment horizontal="left"/>
    </xf>
    <xf numFmtId="0" fontId="7" fillId="32" borderId="1" xfId="0" applyFont="1" applyFill="1" applyBorder="1" applyAlignment="1">
      <alignment horizontal="center"/>
    </xf>
    <xf numFmtId="0" fontId="0" fillId="2" borderId="0" xfId="0" applyFill="1" applyAlignment="1">
      <alignment horizontal="left"/>
    </xf>
    <xf numFmtId="0" fontId="0" fillId="2" borderId="0" xfId="0" applyFill="1" applyAlignment="1">
      <alignment wrapText="1"/>
    </xf>
    <xf numFmtId="0" fontId="7" fillId="2" borderId="0" xfId="0" applyFont="1" applyFill="1" applyAlignment="1">
      <alignment vertical="center"/>
    </xf>
    <xf numFmtId="0" fontId="28" fillId="2" borderId="0" xfId="0" applyFont="1" applyFill="1" applyAlignment="1">
      <alignment wrapText="1"/>
    </xf>
    <xf numFmtId="176" fontId="28" fillId="2" borderId="37" xfId="0" applyNumberFormat="1" applyFont="1" applyFill="1" applyBorder="1" applyAlignment="1">
      <alignment horizontal="right" wrapText="1"/>
    </xf>
    <xf numFmtId="3" fontId="25" fillId="2" borderId="0" xfId="5" applyNumberFormat="1" applyFont="1" applyFill="1" applyAlignment="1">
      <alignment wrapText="1"/>
    </xf>
    <xf numFmtId="0" fontId="23" fillId="2" borderId="0" xfId="0" applyFont="1" applyFill="1" applyAlignment="1">
      <alignment horizontal="left" vertical="center" wrapText="1"/>
    </xf>
    <xf numFmtId="175" fontId="28" fillId="2" borderId="0" xfId="0" applyNumberFormat="1" applyFont="1" applyFill="1" applyAlignment="1">
      <alignment horizontal="left" wrapText="1"/>
    </xf>
    <xf numFmtId="0" fontId="28" fillId="2" borderId="0" xfId="0" applyFont="1" applyFill="1" applyAlignment="1">
      <alignment horizontal="left" wrapText="1"/>
    </xf>
    <xf numFmtId="0" fontId="24" fillId="24" borderId="26" xfId="0" applyFont="1" applyFill="1" applyBorder="1" applyAlignment="1">
      <alignment vertical="center"/>
    </xf>
    <xf numFmtId="0" fontId="24" fillId="24" borderId="32" xfId="0" applyFont="1" applyFill="1" applyBorder="1" applyAlignment="1">
      <alignment vertical="center"/>
    </xf>
    <xf numFmtId="176" fontId="28" fillId="2" borderId="10" xfId="0" applyNumberFormat="1" applyFont="1" applyFill="1" applyBorder="1" applyAlignment="1">
      <alignment horizontal="right" wrapText="1"/>
    </xf>
    <xf numFmtId="176" fontId="28" fillId="2" borderId="25" xfId="0" applyNumberFormat="1" applyFont="1" applyFill="1" applyBorder="1" applyAlignment="1">
      <alignment horizontal="right" wrapText="1"/>
    </xf>
    <xf numFmtId="176" fontId="28" fillId="2" borderId="2" xfId="0" applyNumberFormat="1" applyFont="1" applyFill="1" applyBorder="1" applyAlignment="1">
      <alignment horizontal="right" wrapText="1"/>
    </xf>
    <xf numFmtId="176" fontId="28" fillId="2" borderId="3" xfId="0" applyNumberFormat="1" applyFont="1" applyFill="1" applyBorder="1" applyAlignment="1">
      <alignment horizontal="right" wrapText="1"/>
    </xf>
    <xf numFmtId="176" fontId="28" fillId="2" borderId="4" xfId="0" applyNumberFormat="1" applyFont="1" applyFill="1" applyBorder="1" applyAlignment="1">
      <alignment horizontal="right" wrapText="1"/>
    </xf>
    <xf numFmtId="177" fontId="63" fillId="2" borderId="0" xfId="0" applyNumberFormat="1" applyFont="1" applyFill="1" applyAlignment="1">
      <alignment wrapText="1"/>
    </xf>
    <xf numFmtId="177" fontId="63" fillId="2" borderId="0" xfId="0" applyNumberFormat="1" applyFont="1" applyFill="1" applyAlignment="1">
      <alignment horizontal="center" wrapText="1"/>
    </xf>
    <xf numFmtId="165" fontId="28" fillId="2" borderId="4" xfId="0" applyNumberFormat="1" applyFont="1" applyFill="1" applyBorder="1" applyAlignment="1">
      <alignment wrapText="1"/>
    </xf>
    <xf numFmtId="44" fontId="28" fillId="2" borderId="2" xfId="0" applyNumberFormat="1" applyFont="1" applyFill="1" applyBorder="1" applyAlignment="1">
      <alignment horizontal="right" wrapText="1"/>
    </xf>
    <xf numFmtId="44" fontId="28" fillId="2" borderId="3" xfId="0" applyNumberFormat="1" applyFont="1" applyFill="1" applyBorder="1" applyAlignment="1">
      <alignment horizontal="right" wrapText="1"/>
    </xf>
    <xf numFmtId="44" fontId="28" fillId="2" borderId="4" xfId="0" applyNumberFormat="1" applyFont="1" applyFill="1" applyBorder="1" applyAlignment="1">
      <alignment horizontal="right" wrapText="1"/>
    </xf>
    <xf numFmtId="177" fontId="63" fillId="2" borderId="47" xfId="0" applyNumberFormat="1" applyFont="1" applyFill="1" applyBorder="1" applyAlignment="1">
      <alignment horizontal="center" wrapText="1"/>
    </xf>
    <xf numFmtId="44" fontId="28" fillId="2" borderId="2" xfId="0" applyNumberFormat="1" applyFont="1" applyFill="1" applyBorder="1" applyAlignment="1">
      <alignment wrapText="1"/>
    </xf>
    <xf numFmtId="44" fontId="28" fillId="2" borderId="3" xfId="0" applyNumberFormat="1" applyFont="1" applyFill="1" applyBorder="1" applyAlignment="1">
      <alignment wrapText="1"/>
    </xf>
    <xf numFmtId="44" fontId="28" fillId="2" borderId="4" xfId="0" applyNumberFormat="1" applyFont="1" applyFill="1" applyBorder="1" applyAlignment="1">
      <alignment wrapText="1"/>
    </xf>
    <xf numFmtId="0" fontId="64" fillId="2" borderId="0" xfId="0" applyFont="1" applyFill="1" applyAlignment="1">
      <alignment vertical="center"/>
    </xf>
    <xf numFmtId="0" fontId="23" fillId="2" borderId="0" xfId="0" applyFont="1" applyFill="1" applyAlignment="1">
      <alignment vertical="center" wrapText="1"/>
    </xf>
    <xf numFmtId="0" fontId="23" fillId="2" borderId="0" xfId="0" applyFont="1" applyFill="1" applyAlignment="1">
      <alignment horizontal="left" vertical="center"/>
    </xf>
    <xf numFmtId="0" fontId="28" fillId="2" borderId="0" xfId="0" applyFont="1" applyFill="1" applyAlignment="1">
      <alignment vertical="center"/>
    </xf>
    <xf numFmtId="175" fontId="28" fillId="2" borderId="0" xfId="0" applyNumberFormat="1" applyFont="1" applyFill="1" applyAlignment="1">
      <alignment horizontal="left" vertical="center"/>
    </xf>
    <xf numFmtId="0" fontId="28" fillId="2" borderId="0" xfId="0" applyFont="1" applyFill="1" applyAlignment="1">
      <alignment horizontal="left" vertical="center" wrapText="1"/>
    </xf>
    <xf numFmtId="0" fontId="28" fillId="2" borderId="5" xfId="0" applyFont="1" applyFill="1" applyBorder="1" applyAlignment="1">
      <alignment horizontal="left" wrapText="1"/>
    </xf>
    <xf numFmtId="0" fontId="28" fillId="2" borderId="8" xfId="0" applyFont="1" applyFill="1" applyBorder="1" applyAlignment="1">
      <alignment horizontal="left" wrapText="1"/>
    </xf>
    <xf numFmtId="177" fontId="63" fillId="2" borderId="0" xfId="0" applyNumberFormat="1" applyFont="1" applyFill="1" applyBorder="1" applyAlignment="1">
      <alignment horizontal="center" wrapText="1"/>
    </xf>
    <xf numFmtId="177" fontId="63" fillId="2" borderId="0" xfId="0" applyNumberFormat="1" applyFont="1" applyFill="1" applyAlignment="1">
      <alignment horizontal="left" wrapText="1"/>
    </xf>
    <xf numFmtId="0" fontId="28" fillId="2" borderId="0" xfId="0" applyFont="1" applyFill="1" applyBorder="1" applyAlignment="1">
      <alignment horizontal="left" wrapText="1"/>
    </xf>
    <xf numFmtId="176" fontId="28" fillId="2" borderId="47" xfId="0" applyNumberFormat="1" applyFont="1" applyFill="1" applyBorder="1" applyAlignment="1">
      <alignment horizontal="right" wrapText="1"/>
    </xf>
    <xf numFmtId="176" fontId="28" fillId="2" borderId="0" xfId="0" applyNumberFormat="1" applyFont="1" applyFill="1" applyBorder="1" applyAlignment="1">
      <alignment horizontal="right" wrapText="1"/>
    </xf>
    <xf numFmtId="176" fontId="28" fillId="2" borderId="9" xfId="0" applyNumberFormat="1" applyFont="1" applyFill="1" applyBorder="1" applyAlignment="1">
      <alignment horizontal="right" wrapText="1"/>
    </xf>
    <xf numFmtId="177" fontId="63" fillId="2" borderId="0" xfId="0" applyNumberFormat="1" applyFont="1" applyFill="1" applyBorder="1" applyAlignment="1">
      <alignment horizontal="left" wrapText="1"/>
    </xf>
    <xf numFmtId="165" fontId="1" fillId="2" borderId="0" xfId="0" applyNumberFormat="1" applyFont="1" applyFill="1" applyBorder="1"/>
    <xf numFmtId="44" fontId="28" fillId="2" borderId="0" xfId="0" applyNumberFormat="1" applyFont="1" applyFill="1" applyBorder="1" applyAlignment="1">
      <alignment horizontal="right" wrapText="1"/>
    </xf>
    <xf numFmtId="165" fontId="28" fillId="2" borderId="0" xfId="0" applyNumberFormat="1" applyFont="1" applyFill="1" applyBorder="1" applyAlignment="1">
      <alignment wrapText="1"/>
    </xf>
    <xf numFmtId="0" fontId="25" fillId="2" borderId="0" xfId="0" applyFont="1" applyFill="1"/>
    <xf numFmtId="0" fontId="14" fillId="2" borderId="0" xfId="0" applyFont="1" applyFill="1" applyAlignment="1">
      <alignment vertical="center"/>
    </xf>
    <xf numFmtId="0" fontId="0" fillId="2" borderId="0" xfId="0" applyFont="1" applyFill="1"/>
    <xf numFmtId="0" fontId="0" fillId="2" borderId="0" xfId="0" applyFont="1" applyFill="1" applyBorder="1"/>
    <xf numFmtId="0" fontId="0" fillId="2" borderId="0" xfId="0" applyFont="1" applyFill="1" applyAlignment="1">
      <alignment vertical="center"/>
    </xf>
    <xf numFmtId="0" fontId="25" fillId="2" borderId="0" xfId="0" applyFont="1" applyFill="1" applyAlignment="1">
      <alignment vertical="center"/>
    </xf>
    <xf numFmtId="0" fontId="28" fillId="2" borderId="0" xfId="0" applyFont="1" applyFill="1" applyAlignment="1">
      <alignment horizontal="left"/>
    </xf>
    <xf numFmtId="175" fontId="28" fillId="2" borderId="0" xfId="0" applyNumberFormat="1" applyFont="1" applyFill="1" applyAlignment="1">
      <alignment horizontal="left"/>
    </xf>
    <xf numFmtId="0" fontId="28" fillId="2" borderId="0" xfId="0" applyFont="1" applyFill="1" applyBorder="1" applyAlignment="1">
      <alignment horizontal="left"/>
    </xf>
    <xf numFmtId="0" fontId="0" fillId="0" borderId="0" xfId="0" applyAlignment="1">
      <alignment horizontal="center" wrapText="1"/>
    </xf>
    <xf numFmtId="0" fontId="7" fillId="0" borderId="0" xfId="0" applyFont="1" applyAlignment="1">
      <alignment horizontal="center" wrapText="1"/>
    </xf>
    <xf numFmtId="0" fontId="0" fillId="0" borderId="9" xfId="0" applyBorder="1" applyAlignment="1">
      <alignment wrapText="1"/>
    </xf>
    <xf numFmtId="0" fontId="7" fillId="0" borderId="9" xfId="0" applyFont="1" applyBorder="1" applyAlignment="1">
      <alignment vertical="center"/>
    </xf>
    <xf numFmtId="0" fontId="0" fillId="0" borderId="9" xfId="0" applyBorder="1" applyAlignment="1">
      <alignment vertical="center"/>
    </xf>
    <xf numFmtId="0" fontId="6" fillId="0" borderId="9" xfId="0" applyFont="1" applyBorder="1" applyAlignment="1">
      <alignment vertical="center"/>
    </xf>
    <xf numFmtId="165" fontId="1" fillId="0" borderId="8" xfId="2" applyNumberFormat="1" applyFont="1" applyFill="1" applyBorder="1" applyAlignment="1">
      <alignment horizontal="center" vertical="center"/>
    </xf>
    <xf numFmtId="165" fontId="5" fillId="0" borderId="8" xfId="2" applyNumberFormat="1" applyFont="1" applyFill="1" applyBorder="1" applyAlignment="1">
      <alignment horizontal="center" vertical="center"/>
    </xf>
    <xf numFmtId="165" fontId="1" fillId="0" borderId="8" xfId="2" applyNumberFormat="1" applyFont="1" applyFill="1" applyBorder="1" applyAlignment="1">
      <alignment vertical="center"/>
    </xf>
    <xf numFmtId="165" fontId="22" fillId="0" borderId="8" xfId="2" applyNumberFormat="1" applyFont="1" applyFill="1" applyBorder="1" applyAlignment="1">
      <alignment vertical="center"/>
    </xf>
    <xf numFmtId="165" fontId="22" fillId="0" borderId="1" xfId="2" applyNumberFormat="1" applyFont="1" applyFill="1" applyBorder="1" applyAlignment="1">
      <alignment vertical="center"/>
    </xf>
    <xf numFmtId="165" fontId="0" fillId="0" borderId="1" xfId="0" applyNumberFormat="1" applyFill="1" applyBorder="1" applyAlignment="1">
      <alignment vertical="center"/>
    </xf>
    <xf numFmtId="165" fontId="1" fillId="39" borderId="1" xfId="2" applyNumberFormat="1" applyFont="1" applyFill="1" applyBorder="1" applyAlignment="1">
      <alignment horizontal="center" vertical="center"/>
    </xf>
    <xf numFmtId="165" fontId="1" fillId="39" borderId="1" xfId="2" applyNumberFormat="1" applyFont="1" applyFill="1" applyBorder="1" applyAlignment="1">
      <alignment vertical="center"/>
    </xf>
    <xf numFmtId="165" fontId="18" fillId="39" borderId="1" xfId="2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top" wrapText="1"/>
    </xf>
    <xf numFmtId="0" fontId="1" fillId="0" borderId="2" xfId="0" applyFont="1" applyFill="1" applyBorder="1" applyAlignment="1">
      <alignment vertical="center" wrapText="1"/>
    </xf>
    <xf numFmtId="0" fontId="0" fillId="2" borderId="33" xfId="0" applyFill="1" applyBorder="1"/>
    <xf numFmtId="0" fontId="0" fillId="2" borderId="34" xfId="0" applyFill="1" applyBorder="1"/>
    <xf numFmtId="0" fontId="0" fillId="2" borderId="35" xfId="0" applyFill="1" applyBorder="1"/>
    <xf numFmtId="0" fontId="0" fillId="2" borderId="36" xfId="0" applyFill="1" applyBorder="1"/>
    <xf numFmtId="0" fontId="0" fillId="2" borderId="36" xfId="0" applyFill="1" applyBorder="1" applyAlignment="1">
      <alignment vertical="center"/>
    </xf>
    <xf numFmtId="0" fontId="0" fillId="2" borderId="39" xfId="0" applyFill="1" applyBorder="1"/>
    <xf numFmtId="0" fontId="0" fillId="2" borderId="38" xfId="0" applyFill="1" applyBorder="1"/>
    <xf numFmtId="0" fontId="0" fillId="2" borderId="38" xfId="0" applyFill="1" applyBorder="1" applyAlignment="1">
      <alignment vertical="center"/>
    </xf>
    <xf numFmtId="0" fontId="0" fillId="2" borderId="41" xfId="0" applyFill="1" applyBorder="1"/>
    <xf numFmtId="0" fontId="0" fillId="2" borderId="0" xfId="0" applyFill="1" applyAlignment="1">
      <alignment vertical="top"/>
    </xf>
    <xf numFmtId="0" fontId="0" fillId="2" borderId="40" xfId="0" applyFill="1" applyBorder="1"/>
    <xf numFmtId="0" fontId="0" fillId="2" borderId="37" xfId="0" applyFill="1" applyBorder="1" applyAlignment="1">
      <alignment vertical="center"/>
    </xf>
    <xf numFmtId="0" fontId="17" fillId="2" borderId="37" xfId="0" applyFont="1" applyFill="1" applyBorder="1" applyAlignment="1">
      <alignment vertical="center" wrapText="1"/>
    </xf>
    <xf numFmtId="0" fontId="17" fillId="2" borderId="0" xfId="0" applyFont="1" applyFill="1" applyAlignment="1">
      <alignment vertical="center" wrapText="1"/>
    </xf>
    <xf numFmtId="0" fontId="0" fillId="2" borderId="0" xfId="0" applyFill="1" applyAlignment="1">
      <alignment horizontal="left" vertical="center" indent="1"/>
    </xf>
    <xf numFmtId="167" fontId="51" fillId="2" borderId="1" xfId="2" applyNumberFormat="1" applyFont="1" applyFill="1" applyBorder="1" applyAlignment="1">
      <alignment vertical="center"/>
    </xf>
    <xf numFmtId="165" fontId="51" fillId="2" borderId="1" xfId="2" applyNumberFormat="1" applyFont="1" applyFill="1" applyBorder="1" applyAlignment="1">
      <alignment vertical="center"/>
    </xf>
    <xf numFmtId="0" fontId="50" fillId="2" borderId="0" xfId="0" applyFont="1" applyFill="1" applyAlignment="1">
      <alignment vertical="center"/>
    </xf>
    <xf numFmtId="167" fontId="50" fillId="2" borderId="1" xfId="2" applyNumberFormat="1" applyFont="1" applyFill="1" applyBorder="1" applyAlignment="1">
      <alignment vertical="center"/>
    </xf>
    <xf numFmtId="165" fontId="50" fillId="2" borderId="1" xfId="2" applyNumberFormat="1" applyFont="1" applyFill="1" applyBorder="1" applyAlignment="1">
      <alignment vertical="center"/>
    </xf>
    <xf numFmtId="0" fontId="0" fillId="2" borderId="0" xfId="0" applyFill="1" applyAlignment="1">
      <alignment horizontal="left" vertical="center" wrapText="1" indent="1"/>
    </xf>
    <xf numFmtId="167" fontId="0" fillId="2" borderId="1" xfId="0" applyNumberFormat="1" applyFill="1" applyBorder="1" applyAlignment="1">
      <alignment vertical="center"/>
    </xf>
    <xf numFmtId="165" fontId="0" fillId="2" borderId="1" xfId="0" applyNumberFormat="1" applyFill="1" applyBorder="1" applyAlignment="1">
      <alignment vertical="center"/>
    </xf>
    <xf numFmtId="14" fontId="50" fillId="2" borderId="1" xfId="0" applyNumberFormat="1" applyFont="1" applyFill="1" applyBorder="1" applyAlignment="1">
      <alignment horizontal="center" vertical="center"/>
    </xf>
    <xf numFmtId="14" fontId="0" fillId="2" borderId="0" xfId="0" applyNumberFormat="1" applyFill="1" applyAlignment="1">
      <alignment vertical="center"/>
    </xf>
    <xf numFmtId="0" fontId="50" fillId="2" borderId="0" xfId="0" applyFont="1" applyFill="1" applyAlignment="1">
      <alignment horizontal="center" vertical="center"/>
    </xf>
    <xf numFmtId="0" fontId="50" fillId="2" borderId="1" xfId="0" applyFont="1" applyFill="1" applyBorder="1" applyAlignment="1">
      <alignment horizontal="center" vertical="center"/>
    </xf>
    <xf numFmtId="0" fontId="0" fillId="2" borderId="0" xfId="0" applyFill="1" applyAlignment="1">
      <alignment horizontal="right" vertical="center"/>
    </xf>
    <xf numFmtId="0" fontId="50" fillId="2" borderId="0" xfId="0" applyFont="1" applyFill="1" applyAlignment="1">
      <alignment horizontal="left" vertical="center" indent="1"/>
    </xf>
    <xf numFmtId="0" fontId="0" fillId="2" borderId="0" xfId="0" applyFill="1" applyAlignment="1">
      <alignment horizontal="left" indent="1"/>
    </xf>
    <xf numFmtId="14" fontId="0" fillId="2" borderId="0" xfId="0" applyNumberFormat="1" applyFill="1" applyAlignment="1">
      <alignment horizontal="center" vertical="center"/>
    </xf>
    <xf numFmtId="170" fontId="18" fillId="2" borderId="1" xfId="2" applyNumberFormat="1" applyFont="1" applyFill="1" applyBorder="1" applyAlignment="1">
      <alignment horizontal="center" vertical="center"/>
    </xf>
    <xf numFmtId="167" fontId="7" fillId="2" borderId="1" xfId="0" applyNumberFormat="1" applyFont="1" applyFill="1" applyBorder="1" applyAlignment="1">
      <alignment vertical="center"/>
    </xf>
    <xf numFmtId="165" fontId="7" fillId="2" borderId="1" xfId="0" applyNumberFormat="1" applyFont="1" applyFill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0" fontId="1" fillId="2" borderId="0" xfId="0" applyFont="1" applyFill="1" applyAlignment="1">
      <alignment vertical="center"/>
    </xf>
    <xf numFmtId="0" fontId="1" fillId="40" borderId="1" xfId="0" applyFont="1" applyFill="1" applyBorder="1" applyAlignment="1">
      <alignment horizontal="left" vertical="center" indent="1"/>
    </xf>
    <xf numFmtId="0" fontId="0" fillId="2" borderId="0" xfId="0" applyFill="1" applyAlignment="1">
      <alignment horizontal="center"/>
    </xf>
    <xf numFmtId="177" fontId="63" fillId="2" borderId="0" xfId="0" applyNumberFormat="1" applyFont="1" applyFill="1" applyBorder="1" applyAlignment="1">
      <alignment horizontal="center" wrapText="1"/>
    </xf>
    <xf numFmtId="0" fontId="28" fillId="2" borderId="0" xfId="0" applyFont="1" applyFill="1" applyAlignment="1">
      <alignment horizontal="left" vertical="center" wrapText="1"/>
    </xf>
    <xf numFmtId="0" fontId="28" fillId="2" borderId="0" xfId="0" applyFont="1" applyFill="1" applyAlignment="1">
      <alignment horizontal="left" wrapText="1"/>
    </xf>
    <xf numFmtId="177" fontId="63" fillId="2" borderId="0" xfId="0" applyNumberFormat="1" applyFont="1" applyFill="1" applyAlignment="1">
      <alignment horizontal="left" wrapText="1"/>
    </xf>
    <xf numFmtId="177" fontId="63" fillId="2" borderId="0" xfId="0" applyNumberFormat="1" applyFont="1" applyFill="1" applyAlignment="1">
      <alignment horizontal="center" wrapText="1"/>
    </xf>
    <xf numFmtId="167" fontId="49" fillId="2" borderId="0" xfId="3" applyNumberFormat="1" applyFont="1" applyFill="1" applyBorder="1" applyAlignment="1">
      <alignment horizontal="center" vertical="center"/>
    </xf>
    <xf numFmtId="171" fontId="46" fillId="2" borderId="0" xfId="3" applyNumberFormat="1" applyFont="1" applyFill="1" applyBorder="1" applyAlignment="1">
      <alignment horizontal="left" vertical="center"/>
    </xf>
    <xf numFmtId="0" fontId="23" fillId="17" borderId="0" xfId="0" applyFont="1" applyFill="1" applyAlignment="1">
      <alignment horizontal="left" vertical="center"/>
    </xf>
    <xf numFmtId="0" fontId="23" fillId="17" borderId="0" xfId="0" applyFont="1" applyFill="1" applyAlignment="1">
      <alignment vertical="center" wrapText="1"/>
    </xf>
    <xf numFmtId="178" fontId="28" fillId="17" borderId="0" xfId="0" applyNumberFormat="1" applyFont="1" applyFill="1" applyBorder="1" applyAlignment="1">
      <alignment wrapText="1"/>
    </xf>
    <xf numFmtId="177" fontId="28" fillId="17" borderId="0" xfId="0" applyNumberFormat="1" applyFont="1" applyFill="1" applyBorder="1" applyAlignment="1">
      <alignment horizontal="right" wrapText="1"/>
    </xf>
    <xf numFmtId="0" fontId="28" fillId="17" borderId="0" xfId="0" applyNumberFormat="1" applyFont="1" applyFill="1" applyBorder="1" applyAlignment="1">
      <alignment horizontal="right" wrapText="1"/>
    </xf>
    <xf numFmtId="176" fontId="28" fillId="17" borderId="0" xfId="0" applyNumberFormat="1" applyFont="1" applyFill="1" applyBorder="1" applyAlignment="1">
      <alignment horizontal="right" wrapText="1"/>
    </xf>
    <xf numFmtId="44" fontId="28" fillId="17" borderId="0" xfId="0" applyNumberFormat="1" applyFont="1" applyFill="1" applyBorder="1" applyAlignment="1">
      <alignment wrapText="1"/>
    </xf>
    <xf numFmtId="0" fontId="28" fillId="17" borderId="0" xfId="0" applyFont="1" applyFill="1" applyAlignment="1">
      <alignment wrapText="1"/>
    </xf>
    <xf numFmtId="0" fontId="0" fillId="17" borderId="0" xfId="0" applyFill="1" applyAlignment="1">
      <alignment vertical="center"/>
    </xf>
    <xf numFmtId="0" fontId="6" fillId="17" borderId="0" xfId="0" applyFont="1" applyFill="1" applyAlignment="1">
      <alignment vertical="center"/>
    </xf>
    <xf numFmtId="0" fontId="0" fillId="17" borderId="0" xfId="0" applyFill="1"/>
    <xf numFmtId="165" fontId="28" fillId="2" borderId="2" xfId="0" applyNumberFormat="1" applyFont="1" applyFill="1" applyBorder="1"/>
    <xf numFmtId="165" fontId="28" fillId="2" borderId="3" xfId="0" applyNumberFormat="1" applyFont="1" applyFill="1" applyBorder="1"/>
    <xf numFmtId="178" fontId="28" fillId="17" borderId="0" xfId="0" applyNumberFormat="1" applyFont="1" applyFill="1" applyBorder="1" applyAlignment="1">
      <alignment horizontal="right" wrapText="1"/>
    </xf>
    <xf numFmtId="0" fontId="28" fillId="17" borderId="0" xfId="0" applyFont="1" applyFill="1" applyBorder="1" applyAlignment="1">
      <alignment wrapText="1"/>
    </xf>
    <xf numFmtId="0" fontId="0" fillId="17" borderId="0" xfId="0" applyFill="1" applyBorder="1" applyAlignment="1">
      <alignment vertical="center"/>
    </xf>
    <xf numFmtId="0" fontId="28" fillId="0" borderId="0" xfId="0" applyNumberFormat="1" applyFont="1" applyFill="1" applyBorder="1" applyAlignment="1">
      <alignment horizontal="right" wrapText="1"/>
    </xf>
    <xf numFmtId="0" fontId="6" fillId="0" borderId="0" xfId="0" applyFont="1" applyFill="1" applyAlignment="1">
      <alignment vertical="center"/>
    </xf>
    <xf numFmtId="178" fontId="28" fillId="0" borderId="0" xfId="0" applyNumberFormat="1" applyFont="1" applyFill="1" applyBorder="1" applyAlignment="1">
      <alignment horizontal="right" wrapText="1"/>
    </xf>
    <xf numFmtId="0" fontId="28" fillId="2" borderId="0" xfId="0" applyFont="1" applyFill="1" applyAlignment="1">
      <alignment vertical="center" wrapText="1"/>
    </xf>
    <xf numFmtId="177" fontId="63" fillId="2" borderId="0" xfId="0" applyNumberFormat="1" applyFont="1" applyFill="1" applyBorder="1" applyAlignment="1">
      <alignment wrapText="1"/>
    </xf>
    <xf numFmtId="14" fontId="28" fillId="2" borderId="0" xfId="0" applyNumberFormat="1" applyFont="1" applyFill="1" applyAlignment="1">
      <alignment horizontal="left" vertical="center" wrapText="1"/>
    </xf>
    <xf numFmtId="167" fontId="28" fillId="2" borderId="7" xfId="0" applyNumberFormat="1" applyFont="1" applyFill="1" applyBorder="1" applyAlignment="1">
      <alignment wrapText="1"/>
    </xf>
    <xf numFmtId="167" fontId="28" fillId="2" borderId="26" xfId="0" applyNumberFormat="1" applyFont="1" applyFill="1" applyBorder="1" applyAlignment="1">
      <alignment wrapText="1"/>
    </xf>
    <xf numFmtId="167" fontId="28" fillId="2" borderId="32" xfId="0" applyNumberFormat="1" applyFont="1" applyFill="1" applyBorder="1" applyAlignment="1">
      <alignment wrapText="1"/>
    </xf>
    <xf numFmtId="0" fontId="6" fillId="24" borderId="5" xfId="0" applyFont="1" applyFill="1" applyBorder="1" applyAlignment="1">
      <alignment horizontal="center" vertical="center"/>
    </xf>
    <xf numFmtId="0" fontId="6" fillId="24" borderId="8" xfId="0" applyFont="1" applyFill="1" applyBorder="1" applyAlignment="1">
      <alignment horizontal="center" vertical="center"/>
    </xf>
    <xf numFmtId="0" fontId="7" fillId="12" borderId="5" xfId="0" applyFont="1" applyFill="1" applyBorder="1" applyAlignment="1">
      <alignment horizontal="left" vertical="center" wrapText="1"/>
    </xf>
    <xf numFmtId="0" fontId="7" fillId="12" borderId="6" xfId="0" applyFont="1" applyFill="1" applyBorder="1" applyAlignment="1">
      <alignment horizontal="left" vertical="center" wrapText="1"/>
    </xf>
    <xf numFmtId="0" fontId="7" fillId="12" borderId="8" xfId="0" applyFont="1" applyFill="1" applyBorder="1" applyAlignment="1">
      <alignment horizontal="left" vertical="center" wrapText="1"/>
    </xf>
    <xf numFmtId="0" fontId="18" fillId="25" borderId="1" xfId="0" applyFont="1" applyFill="1" applyBorder="1" applyAlignment="1">
      <alignment horizontal="left" vertical="center"/>
    </xf>
    <xf numFmtId="0" fontId="1" fillId="25" borderId="1" xfId="0" applyFont="1" applyFill="1" applyBorder="1" applyAlignment="1">
      <alignment horizontal="left" vertical="center"/>
    </xf>
    <xf numFmtId="0" fontId="7" fillId="2" borderId="0" xfId="0" applyFont="1" applyFill="1" applyAlignment="1">
      <alignment horizontal="left" vertical="center"/>
    </xf>
    <xf numFmtId="0" fontId="7" fillId="16" borderId="1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4" borderId="5" xfId="0" applyFont="1" applyFill="1" applyBorder="1" applyAlignment="1">
      <alignment horizontal="center" vertical="center" wrapText="1"/>
    </xf>
    <xf numFmtId="0" fontId="6" fillId="24" borderId="8" xfId="0" applyFont="1" applyFill="1" applyBorder="1" applyAlignment="1">
      <alignment horizontal="center" vertical="center" wrapText="1"/>
    </xf>
    <xf numFmtId="0" fontId="18" fillId="12" borderId="5" xfId="0" applyFont="1" applyFill="1" applyBorder="1" applyAlignment="1">
      <alignment horizontal="left" vertical="center" wrapText="1"/>
    </xf>
    <xf numFmtId="0" fontId="18" fillId="12" borderId="6" xfId="0" applyFont="1" applyFill="1" applyBorder="1" applyAlignment="1">
      <alignment horizontal="left" vertical="center" wrapText="1"/>
    </xf>
    <xf numFmtId="0" fontId="18" fillId="12" borderId="8" xfId="0" applyFont="1" applyFill="1" applyBorder="1" applyAlignment="1">
      <alignment horizontal="left" vertical="center" wrapText="1"/>
    </xf>
    <xf numFmtId="0" fontId="7" fillId="16" borderId="5" xfId="0" applyFont="1" applyFill="1" applyBorder="1" applyAlignment="1">
      <alignment horizontal="left" vertical="center"/>
    </xf>
    <xf numFmtId="0" fontId="7" fillId="16" borderId="6" xfId="0" applyFont="1" applyFill="1" applyBorder="1" applyAlignment="1">
      <alignment horizontal="left" vertical="center"/>
    </xf>
    <xf numFmtId="0" fontId="7" fillId="16" borderId="8" xfId="0" applyFont="1" applyFill="1" applyBorder="1" applyAlignment="1">
      <alignment horizontal="left" vertical="center"/>
    </xf>
    <xf numFmtId="0" fontId="1" fillId="40" borderId="1" xfId="0" applyFont="1" applyFill="1" applyBorder="1" applyAlignment="1">
      <alignment horizontal="left" vertical="center" indent="1"/>
    </xf>
    <xf numFmtId="0" fontId="0" fillId="16" borderId="1" xfId="0" applyFill="1" applyBorder="1" applyAlignment="1">
      <alignment horizontal="left" vertical="center" indent="1"/>
    </xf>
    <xf numFmtId="0" fontId="7" fillId="16" borderId="1" xfId="0" applyFont="1" applyFill="1" applyBorder="1" applyAlignment="1">
      <alignment horizontal="left" vertical="center"/>
    </xf>
    <xf numFmtId="0" fontId="0" fillId="16" borderId="1" xfId="0" applyFill="1" applyBorder="1" applyAlignment="1">
      <alignment horizontal="left" vertical="center"/>
    </xf>
    <xf numFmtId="0" fontId="18" fillId="40" borderId="5" xfId="0" applyFont="1" applyFill="1" applyBorder="1" applyAlignment="1">
      <alignment horizontal="left" vertical="center"/>
    </xf>
    <xf numFmtId="0" fontId="18" fillId="40" borderId="6" xfId="0" applyFont="1" applyFill="1" applyBorder="1" applyAlignment="1">
      <alignment horizontal="left" vertical="center"/>
    </xf>
    <xf numFmtId="0" fontId="18" fillId="40" borderId="8" xfId="0" applyFont="1" applyFill="1" applyBorder="1" applyAlignment="1">
      <alignment horizontal="left" vertical="center"/>
    </xf>
    <xf numFmtId="0" fontId="1" fillId="40" borderId="5" xfId="0" applyFont="1" applyFill="1" applyBorder="1" applyAlignment="1">
      <alignment horizontal="left" vertical="center" indent="1"/>
    </xf>
    <xf numFmtId="0" fontId="1" fillId="40" borderId="6" xfId="0" applyFont="1" applyFill="1" applyBorder="1" applyAlignment="1">
      <alignment horizontal="left" vertical="center" indent="1"/>
    </xf>
    <xf numFmtId="0" fontId="1" fillId="40" borderId="8" xfId="0" applyFont="1" applyFill="1" applyBorder="1" applyAlignment="1">
      <alignment horizontal="left" vertical="center" indent="1"/>
    </xf>
    <xf numFmtId="0" fontId="6" fillId="24" borderId="6" xfId="0" applyFont="1" applyFill="1" applyBorder="1" applyAlignment="1">
      <alignment horizontal="center" vertical="center"/>
    </xf>
    <xf numFmtId="0" fontId="1" fillId="40" borderId="5" xfId="0" applyFont="1" applyFill="1" applyBorder="1" applyAlignment="1">
      <alignment horizontal="left" vertical="center"/>
    </xf>
    <xf numFmtId="0" fontId="1" fillId="40" borderId="6" xfId="0" applyFont="1" applyFill="1" applyBorder="1" applyAlignment="1">
      <alignment horizontal="left" vertical="center"/>
    </xf>
    <xf numFmtId="0" fontId="1" fillId="40" borderId="8" xfId="0" applyFont="1" applyFill="1" applyBorder="1" applyAlignment="1">
      <alignment horizontal="left" vertical="center"/>
    </xf>
    <xf numFmtId="0" fontId="0" fillId="16" borderId="1" xfId="0" applyFill="1" applyBorder="1" applyAlignment="1">
      <alignment horizontal="left" vertical="center" wrapText="1" indent="1"/>
    </xf>
    <xf numFmtId="0" fontId="0" fillId="25" borderId="5" xfId="0" applyFill="1" applyBorder="1" applyAlignment="1">
      <alignment horizontal="left" vertical="center" wrapText="1" indent="1"/>
    </xf>
    <xf numFmtId="0" fontId="0" fillId="25" borderId="6" xfId="0" applyFill="1" applyBorder="1" applyAlignment="1">
      <alignment horizontal="left" vertical="center" wrapText="1" indent="1"/>
    </xf>
    <xf numFmtId="0" fontId="0" fillId="25" borderId="8" xfId="0" applyFill="1" applyBorder="1" applyAlignment="1">
      <alignment horizontal="left" vertical="center" wrapText="1" indent="1"/>
    </xf>
    <xf numFmtId="0" fontId="0" fillId="16" borderId="1" xfId="0" applyFill="1" applyBorder="1" applyAlignment="1">
      <alignment horizontal="left" vertical="center" wrapText="1"/>
    </xf>
    <xf numFmtId="0" fontId="0" fillId="12" borderId="1" xfId="0" applyFill="1" applyBorder="1" applyAlignment="1">
      <alignment horizontal="left" vertical="center" wrapText="1"/>
    </xf>
    <xf numFmtId="0" fontId="0" fillId="12" borderId="1" xfId="0" applyFill="1" applyBorder="1" applyAlignment="1">
      <alignment horizontal="left" vertical="center"/>
    </xf>
    <xf numFmtId="0" fontId="48" fillId="24" borderId="0" xfId="0" applyFont="1" applyFill="1" applyAlignment="1">
      <alignment horizontal="center" vertical="center" wrapText="1"/>
    </xf>
    <xf numFmtId="0" fontId="17" fillId="24" borderId="0" xfId="0" applyFont="1" applyFill="1" applyAlignment="1">
      <alignment horizontal="center" vertical="center" wrapText="1"/>
    </xf>
    <xf numFmtId="0" fontId="8" fillId="24" borderId="1" xfId="0" applyFont="1" applyFill="1" applyBorder="1" applyAlignment="1">
      <alignment horizontal="left" vertical="center" indent="1"/>
    </xf>
    <xf numFmtId="0" fontId="6" fillId="24" borderId="1" xfId="0" applyFont="1" applyFill="1" applyBorder="1" applyAlignment="1">
      <alignment horizontal="center" vertical="center"/>
    </xf>
    <xf numFmtId="0" fontId="0" fillId="25" borderId="1" xfId="0" applyFill="1" applyBorder="1" applyAlignment="1">
      <alignment horizontal="left" vertical="center" indent="1"/>
    </xf>
    <xf numFmtId="0" fontId="0" fillId="12" borderId="5" xfId="0" applyFill="1" applyBorder="1" applyAlignment="1">
      <alignment horizontal="left" vertical="center"/>
    </xf>
    <xf numFmtId="0" fontId="0" fillId="12" borderId="6" xfId="0" applyFill="1" applyBorder="1" applyAlignment="1">
      <alignment horizontal="left" vertical="center"/>
    </xf>
    <xf numFmtId="0" fontId="0" fillId="12" borderId="8" xfId="0" applyFill="1" applyBorder="1" applyAlignment="1">
      <alignment horizontal="left" vertical="center"/>
    </xf>
    <xf numFmtId="0" fontId="6" fillId="24" borderId="28" xfId="0" applyFont="1" applyFill="1" applyBorder="1" applyAlignment="1">
      <alignment horizontal="center" vertical="center"/>
    </xf>
    <xf numFmtId="0" fontId="6" fillId="24" borderId="29" xfId="0" applyFont="1" applyFill="1" applyBorder="1" applyAlignment="1">
      <alignment horizontal="center" vertical="center"/>
    </xf>
    <xf numFmtId="171" fontId="49" fillId="25" borderId="1" xfId="3" applyNumberFormat="1" applyFont="1" applyFill="1" applyBorder="1" applyAlignment="1">
      <alignment horizontal="center" vertical="center"/>
    </xf>
    <xf numFmtId="0" fontId="33" fillId="2" borderId="0" xfId="0" applyFont="1" applyFill="1" applyBorder="1" applyAlignment="1">
      <alignment horizontal="center"/>
    </xf>
    <xf numFmtId="0" fontId="45" fillId="2" borderId="0" xfId="0" applyFont="1" applyFill="1" applyAlignment="1">
      <alignment horizontal="center"/>
    </xf>
    <xf numFmtId="167" fontId="18" fillId="17" borderId="1" xfId="0" applyNumberFormat="1" applyFont="1" applyFill="1" applyBorder="1" applyAlignment="1">
      <alignment horizontal="center" wrapText="1"/>
    </xf>
    <xf numFmtId="0" fontId="6" fillId="24" borderId="1" xfId="2" applyNumberFormat="1" applyFont="1" applyFill="1" applyBorder="1" applyAlignment="1">
      <alignment horizontal="center" vertical="center"/>
    </xf>
    <xf numFmtId="167" fontId="6" fillId="24" borderId="43" xfId="0" applyNumberFormat="1" applyFont="1" applyFill="1" applyBorder="1" applyAlignment="1">
      <alignment horizontal="center" vertical="center" wrapText="1"/>
    </xf>
    <xf numFmtId="167" fontId="6" fillId="24" borderId="42" xfId="0" applyNumberFormat="1" applyFont="1" applyFill="1" applyBorder="1" applyAlignment="1">
      <alignment horizontal="center" vertical="center" wrapText="1"/>
    </xf>
    <xf numFmtId="171" fontId="6" fillId="24" borderId="12" xfId="3" applyNumberFormat="1" applyFont="1" applyFill="1" applyBorder="1" applyAlignment="1">
      <alignment horizontal="center" vertical="center" wrapText="1"/>
    </xf>
    <xf numFmtId="171" fontId="6" fillId="24" borderId="31" xfId="3" applyNumberFormat="1" applyFont="1" applyFill="1" applyBorder="1" applyAlignment="1">
      <alignment horizontal="center" vertical="center" wrapText="1"/>
    </xf>
    <xf numFmtId="167" fontId="6" fillId="24" borderId="28" xfId="0" applyNumberFormat="1" applyFont="1" applyFill="1" applyBorder="1" applyAlignment="1">
      <alignment horizontal="center" vertical="center"/>
    </xf>
    <xf numFmtId="167" fontId="6" fillId="24" borderId="29" xfId="0" applyNumberFormat="1" applyFont="1" applyFill="1" applyBorder="1" applyAlignment="1">
      <alignment horizontal="center" vertical="center"/>
    </xf>
    <xf numFmtId="167" fontId="6" fillId="24" borderId="17" xfId="0" applyNumberFormat="1" applyFont="1" applyFill="1" applyBorder="1" applyAlignment="1">
      <alignment horizontal="center" vertical="center"/>
    </xf>
    <xf numFmtId="167" fontId="6" fillId="24" borderId="13" xfId="0" applyNumberFormat="1" applyFont="1" applyFill="1" applyBorder="1" applyAlignment="1">
      <alignment horizontal="center" vertical="center"/>
    </xf>
    <xf numFmtId="167" fontId="6" fillId="24" borderId="12" xfId="0" applyNumberFormat="1" applyFont="1" applyFill="1" applyBorder="1" applyAlignment="1">
      <alignment horizontal="center" vertical="center"/>
    </xf>
    <xf numFmtId="167" fontId="6" fillId="24" borderId="20" xfId="0" applyNumberFormat="1" applyFont="1" applyFill="1" applyBorder="1" applyAlignment="1">
      <alignment horizontal="center" vertical="center"/>
    </xf>
    <xf numFmtId="0" fontId="24" fillId="24" borderId="11" xfId="0" applyNumberFormat="1" applyFont="1" applyFill="1" applyBorder="1" applyAlignment="1">
      <alignment horizontal="center" vertical="center"/>
    </xf>
    <xf numFmtId="0" fontId="24" fillId="24" borderId="16" xfId="0" applyNumberFormat="1" applyFont="1" applyFill="1" applyBorder="1" applyAlignment="1">
      <alignment horizontal="center" vertical="center"/>
    </xf>
    <xf numFmtId="167" fontId="6" fillId="24" borderId="12" xfId="0" applyNumberFormat="1" applyFont="1" applyFill="1" applyBorder="1" applyAlignment="1">
      <alignment horizontal="center" vertical="center" wrapText="1"/>
    </xf>
    <xf numFmtId="167" fontId="6" fillId="24" borderId="31" xfId="0" applyNumberFormat="1" applyFont="1" applyFill="1" applyBorder="1" applyAlignment="1">
      <alignment horizontal="center" vertical="center" wrapText="1"/>
    </xf>
    <xf numFmtId="172" fontId="6" fillId="24" borderId="43" xfId="0" applyNumberFormat="1" applyFont="1" applyFill="1" applyBorder="1" applyAlignment="1">
      <alignment horizontal="center" vertical="center" wrapText="1"/>
    </xf>
    <xf numFmtId="172" fontId="6" fillId="24" borderId="42" xfId="0" applyNumberFormat="1" applyFont="1" applyFill="1" applyBorder="1" applyAlignment="1">
      <alignment horizontal="center" vertical="center" wrapText="1"/>
    </xf>
    <xf numFmtId="0" fontId="6" fillId="24" borderId="43" xfId="0" applyFont="1" applyFill="1" applyBorder="1" applyAlignment="1">
      <alignment horizontal="center" vertical="center" wrapText="1"/>
    </xf>
    <xf numFmtId="0" fontId="6" fillId="24" borderId="42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24" xfId="0" applyFill="1" applyBorder="1" applyAlignment="1">
      <alignment horizontal="center"/>
    </xf>
    <xf numFmtId="0" fontId="0" fillId="17" borderId="1" xfId="0" applyFill="1" applyBorder="1" applyAlignment="1">
      <alignment horizontal="center"/>
    </xf>
    <xf numFmtId="0" fontId="49" fillId="25" borderId="1" xfId="0" applyFont="1" applyFill="1" applyBorder="1" applyAlignment="1">
      <alignment horizontal="center" vertical="center"/>
    </xf>
    <xf numFmtId="0" fontId="6" fillId="24" borderId="12" xfId="0" applyFont="1" applyFill="1" applyBorder="1" applyAlignment="1">
      <alignment horizontal="center" vertical="center"/>
    </xf>
    <xf numFmtId="0" fontId="6" fillId="24" borderId="20" xfId="0" applyFont="1" applyFill="1" applyBorder="1" applyAlignment="1">
      <alignment horizontal="center" vertical="center"/>
    </xf>
    <xf numFmtId="0" fontId="6" fillId="24" borderId="17" xfId="0" applyFont="1" applyFill="1" applyBorder="1" applyAlignment="1">
      <alignment horizontal="center" vertical="center"/>
    </xf>
    <xf numFmtId="0" fontId="6" fillId="24" borderId="13" xfId="0" applyFont="1" applyFill="1" applyBorder="1" applyAlignment="1">
      <alignment horizontal="center" vertical="center"/>
    </xf>
    <xf numFmtId="0" fontId="6" fillId="24" borderId="12" xfId="0" applyFont="1" applyFill="1" applyBorder="1" applyAlignment="1">
      <alignment horizontal="center" vertical="center" wrapText="1"/>
    </xf>
    <xf numFmtId="0" fontId="6" fillId="24" borderId="31" xfId="0" applyFont="1" applyFill="1" applyBorder="1" applyAlignment="1">
      <alignment horizontal="center" vertical="center" wrapText="1"/>
    </xf>
    <xf numFmtId="0" fontId="24" fillId="24" borderId="11" xfId="0" applyFont="1" applyFill="1" applyBorder="1" applyAlignment="1">
      <alignment horizontal="center" vertical="center"/>
    </xf>
    <xf numFmtId="0" fontId="24" fillId="24" borderId="16" xfId="0" applyFont="1" applyFill="1" applyBorder="1" applyAlignment="1">
      <alignment horizontal="center" vertical="center"/>
    </xf>
    <xf numFmtId="0" fontId="24" fillId="24" borderId="15" xfId="0" applyFont="1" applyFill="1" applyBorder="1" applyAlignment="1">
      <alignment horizontal="center" vertical="center"/>
    </xf>
    <xf numFmtId="0" fontId="6" fillId="24" borderId="15" xfId="0" applyFont="1" applyFill="1" applyBorder="1" applyAlignment="1">
      <alignment horizontal="center" vertical="center"/>
    </xf>
    <xf numFmtId="0" fontId="6" fillId="24" borderId="11" xfId="0" applyFont="1" applyFill="1" applyBorder="1" applyAlignment="1">
      <alignment horizontal="center" vertical="center"/>
    </xf>
    <xf numFmtId="0" fontId="33" fillId="2" borderId="24" xfId="0" applyFont="1" applyFill="1" applyBorder="1" applyAlignment="1">
      <alignment horizontal="center"/>
    </xf>
    <xf numFmtId="167" fontId="7" fillId="17" borderId="5" xfId="0" applyNumberFormat="1" applyFont="1" applyFill="1" applyBorder="1" applyAlignment="1">
      <alignment horizontal="center" vertical="center"/>
    </xf>
    <xf numFmtId="167" fontId="7" fillId="17" borderId="8" xfId="0" applyNumberFormat="1" applyFont="1" applyFill="1" applyBorder="1" applyAlignment="1">
      <alignment horizontal="center" vertical="center"/>
    </xf>
    <xf numFmtId="0" fontId="0" fillId="2" borderId="44" xfId="0" applyFill="1" applyBorder="1" applyAlignment="1">
      <alignment horizontal="center"/>
    </xf>
    <xf numFmtId="0" fontId="0" fillId="2" borderId="45" xfId="0" applyFill="1" applyBorder="1" applyAlignment="1">
      <alignment horizontal="center"/>
    </xf>
    <xf numFmtId="0" fontId="16" fillId="24" borderId="0" xfId="0" applyFont="1" applyFill="1" applyAlignment="1">
      <alignment horizontal="center"/>
    </xf>
    <xf numFmtId="0" fontId="6" fillId="24" borderId="25" xfId="0" applyFont="1" applyFill="1" applyBorder="1" applyAlignment="1">
      <alignment horizontal="center"/>
    </xf>
    <xf numFmtId="0" fontId="6" fillId="24" borderId="9" xfId="0" applyFont="1" applyFill="1" applyBorder="1" applyAlignment="1">
      <alignment horizontal="center"/>
    </xf>
    <xf numFmtId="0" fontId="6" fillId="24" borderId="46" xfId="0" applyFont="1" applyFill="1" applyBorder="1" applyAlignment="1">
      <alignment horizontal="center" vertical="center" wrapText="1"/>
    </xf>
    <xf numFmtId="0" fontId="6" fillId="24" borderId="30" xfId="0" applyFont="1" applyFill="1" applyBorder="1" applyAlignment="1">
      <alignment horizontal="center" vertical="center" wrapText="1"/>
    </xf>
    <xf numFmtId="0" fontId="64" fillId="2" borderId="0" xfId="0" applyFont="1" applyFill="1" applyAlignment="1">
      <alignment horizontal="center" vertical="center"/>
    </xf>
    <xf numFmtId="0" fontId="17" fillId="7" borderId="10" xfId="0" applyFont="1" applyFill="1" applyBorder="1" applyAlignment="1">
      <alignment horizontal="center" vertical="center"/>
    </xf>
    <xf numFmtId="0" fontId="17" fillId="7" borderId="47" xfId="0" applyFont="1" applyFill="1" applyBorder="1" applyAlignment="1">
      <alignment horizontal="center" vertical="center"/>
    </xf>
    <xf numFmtId="0" fontId="17" fillId="7" borderId="7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28" fillId="2" borderId="0" xfId="0" applyFont="1" applyFill="1" applyBorder="1" applyAlignment="1">
      <alignment horizontal="center" wrapText="1"/>
    </xf>
    <xf numFmtId="0" fontId="14" fillId="3" borderId="5" xfId="0" applyFont="1" applyFill="1" applyBorder="1" applyAlignment="1">
      <alignment horizontal="left" vertical="center" wrapText="1"/>
    </xf>
    <xf numFmtId="0" fontId="14" fillId="3" borderId="6" xfId="0" applyFont="1" applyFill="1" applyBorder="1" applyAlignment="1">
      <alignment horizontal="left" vertical="center" wrapText="1"/>
    </xf>
    <xf numFmtId="0" fontId="14" fillId="3" borderId="8" xfId="0" applyFont="1" applyFill="1" applyBorder="1" applyAlignment="1">
      <alignment horizontal="left" vertical="center" wrapText="1"/>
    </xf>
    <xf numFmtId="0" fontId="23" fillId="3" borderId="5" xfId="0" applyFont="1" applyFill="1" applyBorder="1" applyAlignment="1">
      <alignment horizontal="left" vertical="center" wrapText="1"/>
    </xf>
    <xf numFmtId="0" fontId="23" fillId="3" borderId="6" xfId="0" applyFont="1" applyFill="1" applyBorder="1" applyAlignment="1">
      <alignment horizontal="left" vertical="center" wrapText="1"/>
    </xf>
    <xf numFmtId="0" fontId="23" fillId="3" borderId="8" xfId="0" applyFont="1" applyFill="1" applyBorder="1" applyAlignment="1">
      <alignment horizontal="left" vertical="center" wrapText="1"/>
    </xf>
    <xf numFmtId="0" fontId="17" fillId="4" borderId="5" xfId="0" applyFont="1" applyFill="1" applyBorder="1" applyAlignment="1">
      <alignment horizontal="center" vertical="center"/>
    </xf>
    <xf numFmtId="0" fontId="17" fillId="4" borderId="6" xfId="0" applyFont="1" applyFill="1" applyBorder="1" applyAlignment="1">
      <alignment horizontal="center" vertical="center"/>
    </xf>
    <xf numFmtId="0" fontId="17" fillId="4" borderId="8" xfId="0" applyFont="1" applyFill="1" applyBorder="1" applyAlignment="1">
      <alignment horizontal="center" vertical="center"/>
    </xf>
    <xf numFmtId="0" fontId="14" fillId="14" borderId="5" xfId="0" applyFont="1" applyFill="1" applyBorder="1" applyAlignment="1">
      <alignment horizontal="left" vertical="center"/>
    </xf>
    <xf numFmtId="0" fontId="14" fillId="14" borderId="6" xfId="0" applyFont="1" applyFill="1" applyBorder="1" applyAlignment="1">
      <alignment horizontal="left" vertical="center"/>
    </xf>
    <xf numFmtId="0" fontId="14" fillId="14" borderId="8" xfId="0" applyFont="1" applyFill="1" applyBorder="1" applyAlignment="1">
      <alignment horizontal="left" vertical="center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24" fillId="9" borderId="5" xfId="0" applyFont="1" applyFill="1" applyBorder="1" applyAlignment="1">
      <alignment horizontal="left" vertical="center" wrapText="1"/>
    </xf>
    <xf numFmtId="0" fontId="24" fillId="9" borderId="6" xfId="0" applyFont="1" applyFill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23" fillId="15" borderId="5" xfId="0" applyFont="1" applyFill="1" applyBorder="1" applyAlignment="1">
      <alignment horizontal="left" vertical="center" wrapText="1"/>
    </xf>
    <xf numFmtId="0" fontId="23" fillId="15" borderId="6" xfId="0" applyFont="1" applyFill="1" applyBorder="1" applyAlignment="1">
      <alignment horizontal="left" vertical="center" wrapText="1"/>
    </xf>
    <xf numFmtId="0" fontId="23" fillId="15" borderId="8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177" fontId="63" fillId="2" borderId="0" xfId="0" applyNumberFormat="1" applyFont="1" applyFill="1" applyBorder="1" applyAlignment="1">
      <alignment horizontal="center" wrapText="1"/>
    </xf>
    <xf numFmtId="0" fontId="6" fillId="9" borderId="5" xfId="0" applyFont="1" applyFill="1" applyBorder="1" applyAlignment="1">
      <alignment horizontal="left" vertical="center" wrapText="1"/>
    </xf>
    <xf numFmtId="0" fontId="6" fillId="9" borderId="6" xfId="0" applyFont="1" applyFill="1" applyBorder="1" applyAlignment="1">
      <alignment horizontal="left" vertical="center" wrapText="1"/>
    </xf>
    <xf numFmtId="0" fontId="6" fillId="9" borderId="8" xfId="0" applyFont="1" applyFill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166" fontId="24" fillId="9" borderId="5" xfId="2" applyFont="1" applyFill="1" applyBorder="1" applyAlignment="1">
      <alignment horizontal="left" vertical="center"/>
    </xf>
    <xf numFmtId="166" fontId="24" fillId="9" borderId="6" xfId="2" applyFont="1" applyFill="1" applyBorder="1" applyAlignment="1">
      <alignment horizontal="left" vertical="center"/>
    </xf>
    <xf numFmtId="166" fontId="24" fillId="9" borderId="8" xfId="2" applyFont="1" applyFill="1" applyBorder="1" applyAlignment="1">
      <alignment horizontal="left" vertical="center"/>
    </xf>
    <xf numFmtId="166" fontId="18" fillId="10" borderId="5" xfId="2" applyFont="1" applyFill="1" applyBorder="1" applyAlignment="1">
      <alignment horizontal="left" vertical="center"/>
    </xf>
    <xf numFmtId="166" fontId="18" fillId="10" borderId="6" xfId="2" applyFont="1" applyFill="1" applyBorder="1" applyAlignment="1">
      <alignment horizontal="left" vertical="center"/>
    </xf>
    <xf numFmtId="166" fontId="18" fillId="10" borderId="8" xfId="2" applyFont="1" applyFill="1" applyBorder="1" applyAlignment="1">
      <alignment horizontal="left" vertical="center"/>
    </xf>
    <xf numFmtId="0" fontId="15" fillId="5" borderId="1" xfId="0" applyFont="1" applyFill="1" applyBorder="1" applyAlignment="1">
      <alignment horizontal="center" vertical="center" wrapText="1"/>
    </xf>
    <xf numFmtId="0" fontId="25" fillId="8" borderId="5" xfId="0" applyFont="1" applyFill="1" applyBorder="1" applyAlignment="1">
      <alignment horizontal="left" vertical="center" wrapText="1"/>
    </xf>
    <xf numFmtId="0" fontId="25" fillId="8" borderId="6" xfId="0" applyFont="1" applyFill="1" applyBorder="1" applyAlignment="1">
      <alignment horizontal="left" vertical="center" wrapText="1"/>
    </xf>
    <xf numFmtId="0" fontId="25" fillId="8" borderId="8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14" fillId="6" borderId="1" xfId="0" applyFont="1" applyFill="1" applyBorder="1" applyAlignment="1">
      <alignment horizontal="center" vertical="center" wrapText="1"/>
    </xf>
    <xf numFmtId="0" fontId="14" fillId="5" borderId="1" xfId="0" applyFont="1" applyFill="1" applyBorder="1" applyAlignment="1">
      <alignment horizontal="center" vertical="center" wrapText="1"/>
    </xf>
    <xf numFmtId="0" fontId="0" fillId="13" borderId="5" xfId="0" applyFill="1" applyBorder="1" applyAlignment="1">
      <alignment horizontal="center"/>
    </xf>
    <xf numFmtId="0" fontId="0" fillId="13" borderId="6" xfId="0" applyFill="1" applyBorder="1" applyAlignment="1">
      <alignment horizontal="center"/>
    </xf>
    <xf numFmtId="0" fontId="0" fillId="13" borderId="8" xfId="0" applyFill="1" applyBorder="1" applyAlignment="1">
      <alignment horizontal="center"/>
    </xf>
    <xf numFmtId="1" fontId="16" fillId="4" borderId="6" xfId="0" applyNumberFormat="1" applyFont="1" applyFill="1" applyBorder="1" applyAlignment="1">
      <alignment horizontal="center" vertical="center" wrapText="1"/>
    </xf>
    <xf numFmtId="166" fontId="18" fillId="10" borderId="1" xfId="2" applyFont="1" applyFill="1" applyBorder="1" applyAlignment="1">
      <alignment horizontal="left" vertical="center"/>
    </xf>
    <xf numFmtId="166" fontId="24" fillId="9" borderId="1" xfId="2" applyFont="1" applyFill="1" applyBorder="1" applyAlignment="1">
      <alignment horizontal="left" vertical="center"/>
    </xf>
    <xf numFmtId="0" fontId="22" fillId="0" borderId="2" xfId="0" applyFont="1" applyBorder="1" applyAlignment="1">
      <alignment horizontal="left" vertical="center" wrapText="1"/>
    </xf>
    <xf numFmtId="0" fontId="22" fillId="0" borderId="4" xfId="0" applyFont="1" applyBorder="1" applyAlignment="1">
      <alignment horizontal="left" vertical="center" wrapText="1"/>
    </xf>
    <xf numFmtId="0" fontId="22" fillId="0" borderId="3" xfId="0" applyFont="1" applyBorder="1" applyAlignment="1">
      <alignment horizontal="left" vertical="center" wrapText="1"/>
    </xf>
    <xf numFmtId="0" fontId="22" fillId="0" borderId="2" xfId="0" applyFont="1" applyBorder="1" applyAlignment="1">
      <alignment horizontal="left" vertical="top" wrapText="1"/>
    </xf>
    <xf numFmtId="0" fontId="22" fillId="0" borderId="4" xfId="0" applyFont="1" applyBorder="1" applyAlignment="1">
      <alignment horizontal="left" vertical="top" wrapText="1"/>
    </xf>
    <xf numFmtId="0" fontId="14" fillId="14" borderId="1" xfId="0" applyFont="1" applyFill="1" applyBorder="1" applyAlignment="1">
      <alignment horizontal="left" vertical="center"/>
    </xf>
    <xf numFmtId="0" fontId="6" fillId="9" borderId="1" xfId="0" applyFont="1" applyFill="1" applyBorder="1" applyAlignment="1">
      <alignment horizontal="left" vertical="center" wrapText="1"/>
    </xf>
    <xf numFmtId="0" fontId="25" fillId="8" borderId="1" xfId="0" applyFont="1" applyFill="1" applyBorder="1" applyAlignment="1">
      <alignment horizontal="left" vertical="center" wrapText="1"/>
    </xf>
    <xf numFmtId="0" fontId="23" fillId="2" borderId="0" xfId="0" applyFont="1" applyFill="1" applyAlignment="1">
      <alignment horizontal="left" vertical="center" wrapText="1"/>
    </xf>
    <xf numFmtId="0" fontId="0" fillId="13" borderId="1" xfId="0" applyFill="1" applyBorder="1" applyAlignment="1">
      <alignment horizontal="center"/>
    </xf>
    <xf numFmtId="0" fontId="28" fillId="2" borderId="0" xfId="0" applyFont="1" applyFill="1" applyAlignment="1">
      <alignment horizontal="left" vertical="center"/>
    </xf>
    <xf numFmtId="0" fontId="28" fillId="2" borderId="0" xfId="0" applyFont="1" applyFill="1" applyAlignment="1">
      <alignment horizontal="left" vertical="center" wrapText="1"/>
    </xf>
    <xf numFmtId="0" fontId="28" fillId="2" borderId="5" xfId="0" applyFont="1" applyFill="1" applyBorder="1" applyAlignment="1">
      <alignment horizontal="center" vertical="center" wrapText="1"/>
    </xf>
    <xf numFmtId="0" fontId="28" fillId="2" borderId="8" xfId="0" applyFont="1" applyFill="1" applyBorder="1" applyAlignment="1">
      <alignment horizontal="center" vertical="center" wrapText="1"/>
    </xf>
    <xf numFmtId="0" fontId="65" fillId="2" borderId="0" xfId="0" applyFont="1" applyFill="1" applyAlignment="1">
      <alignment horizontal="center" vertical="center"/>
    </xf>
    <xf numFmtId="0" fontId="28" fillId="2" borderId="5" xfId="0" applyFont="1" applyFill="1" applyBorder="1" applyAlignment="1">
      <alignment horizontal="center" wrapText="1"/>
    </xf>
    <xf numFmtId="0" fontId="28" fillId="2" borderId="8" xfId="0" applyFont="1" applyFill="1" applyBorder="1" applyAlignment="1">
      <alignment horizontal="center" wrapText="1"/>
    </xf>
    <xf numFmtId="0" fontId="22" fillId="0" borderId="1" xfId="0" applyFont="1" applyBorder="1" applyAlignment="1">
      <alignment horizontal="left" vertical="center" wrapText="1"/>
    </xf>
    <xf numFmtId="0" fontId="0" fillId="0" borderId="2" xfId="0" applyFont="1" applyFill="1" applyBorder="1" applyAlignment="1">
      <alignment horizontal="left" vertical="center" wrapText="1"/>
    </xf>
    <xf numFmtId="0" fontId="0" fillId="0" borderId="3" xfId="0" applyFont="1" applyFill="1" applyBorder="1" applyAlignment="1">
      <alignment horizontal="left" vertical="center" wrapText="1"/>
    </xf>
    <xf numFmtId="0" fontId="0" fillId="0" borderId="4" xfId="0" applyFont="1" applyFill="1" applyBorder="1" applyAlignment="1">
      <alignment horizontal="left" vertical="center" wrapText="1"/>
    </xf>
    <xf numFmtId="166" fontId="1" fillId="0" borderId="2" xfId="2" applyFont="1" applyFill="1" applyBorder="1" applyAlignment="1">
      <alignment horizontal="left" vertical="center" wrapText="1"/>
    </xf>
    <xf numFmtId="166" fontId="1" fillId="0" borderId="3" xfId="2" applyFont="1" applyFill="1" applyBorder="1" applyAlignment="1">
      <alignment horizontal="left" vertical="center" wrapText="1"/>
    </xf>
    <xf numFmtId="166" fontId="1" fillId="0" borderId="4" xfId="2" applyFont="1" applyFill="1" applyBorder="1" applyAlignment="1">
      <alignment horizontal="left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0" fillId="2" borderId="9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left" vertical="center" wrapText="1"/>
    </xf>
    <xf numFmtId="0" fontId="0" fillId="0" borderId="2" xfId="0" applyFont="1" applyBorder="1" applyAlignment="1">
      <alignment horizontal="left" vertical="center" wrapText="1"/>
    </xf>
    <xf numFmtId="0" fontId="0" fillId="0" borderId="3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left" vertical="center" wrapText="1"/>
    </xf>
    <xf numFmtId="0" fontId="16" fillId="4" borderId="5" xfId="0" applyFont="1" applyFill="1" applyBorder="1" applyAlignment="1">
      <alignment horizontal="center" vertical="center"/>
    </xf>
    <xf numFmtId="0" fontId="16" fillId="4" borderId="6" xfId="0" applyFont="1" applyFill="1" applyBorder="1" applyAlignment="1">
      <alignment horizontal="center" vertical="center"/>
    </xf>
    <xf numFmtId="0" fontId="16" fillId="4" borderId="8" xfId="0" applyFont="1" applyFill="1" applyBorder="1" applyAlignment="1">
      <alignment horizontal="center" vertical="center"/>
    </xf>
    <xf numFmtId="1" fontId="14" fillId="5" borderId="5" xfId="0" applyNumberFormat="1" applyFont="1" applyFill="1" applyBorder="1" applyAlignment="1">
      <alignment horizontal="center" vertical="center" wrapText="1"/>
    </xf>
    <xf numFmtId="1" fontId="14" fillId="5" borderId="8" xfId="0" applyNumberFormat="1" applyFont="1" applyFill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166" fontId="1" fillId="0" borderId="2" xfId="2" applyFont="1" applyFill="1" applyBorder="1" applyAlignment="1">
      <alignment horizontal="center" vertical="center"/>
    </xf>
    <xf numFmtId="166" fontId="1" fillId="0" borderId="3" xfId="2" applyFont="1" applyFill="1" applyBorder="1" applyAlignment="1">
      <alignment horizontal="center" vertical="center"/>
    </xf>
    <xf numFmtId="166" fontId="1" fillId="0" borderId="4" xfId="2" applyFont="1" applyFill="1" applyBorder="1" applyAlignment="1">
      <alignment horizontal="center" vertical="center"/>
    </xf>
    <xf numFmtId="0" fontId="17" fillId="7" borderId="1" xfId="0" applyFont="1" applyFill="1" applyBorder="1" applyAlignment="1">
      <alignment horizontal="center" vertical="center" wrapText="1"/>
    </xf>
    <xf numFmtId="0" fontId="33" fillId="6" borderId="1" xfId="0" applyFont="1" applyFill="1" applyBorder="1" applyAlignment="1">
      <alignment horizontal="center" vertical="center" wrapText="1"/>
    </xf>
    <xf numFmtId="0" fontId="34" fillId="8" borderId="5" xfId="0" applyFont="1" applyFill="1" applyBorder="1" applyAlignment="1">
      <alignment horizontal="left" vertical="center" wrapText="1"/>
    </xf>
    <xf numFmtId="0" fontId="34" fillId="8" borderId="6" xfId="0" applyFont="1" applyFill="1" applyBorder="1" applyAlignment="1">
      <alignment horizontal="left" vertical="center" wrapText="1"/>
    </xf>
    <xf numFmtId="0" fontId="34" fillId="8" borderId="8" xfId="0" applyFont="1" applyFill="1" applyBorder="1" applyAlignment="1">
      <alignment horizontal="left" vertical="center" wrapText="1"/>
    </xf>
    <xf numFmtId="0" fontId="15" fillId="10" borderId="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1" fontId="16" fillId="4" borderId="9" xfId="0" applyNumberFormat="1" applyFont="1" applyFill="1" applyBorder="1" applyAlignment="1">
      <alignment horizontal="center" vertical="center" wrapText="1"/>
    </xf>
    <xf numFmtId="1" fontId="16" fillId="4" borderId="8" xfId="0" applyNumberFormat="1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1" fontId="16" fillId="4" borderId="5" xfId="0" applyNumberFormat="1" applyFont="1" applyFill="1" applyBorder="1" applyAlignment="1">
      <alignment horizontal="center" vertical="center" wrapText="1"/>
    </xf>
    <xf numFmtId="0" fontId="33" fillId="5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7" xfId="0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15" fillId="10" borderId="5" xfId="0" applyFont="1" applyFill="1" applyBorder="1" applyAlignment="1">
      <alignment horizontal="left" vertical="center" wrapText="1"/>
    </xf>
    <xf numFmtId="0" fontId="15" fillId="10" borderId="6" xfId="0" applyFont="1" applyFill="1" applyBorder="1" applyAlignment="1">
      <alignment horizontal="left" vertical="center" wrapText="1"/>
    </xf>
    <xf numFmtId="0" fontId="15" fillId="10" borderId="8" xfId="0" applyFont="1" applyFill="1" applyBorder="1" applyAlignment="1">
      <alignment horizontal="left" vertical="center" wrapText="1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15" fillId="5" borderId="2" xfId="0" applyFont="1" applyFill="1" applyBorder="1" applyAlignment="1">
      <alignment horizontal="center" vertical="center" wrapText="1"/>
    </xf>
    <xf numFmtId="0" fontId="14" fillId="6" borderId="2" xfId="0" applyFont="1" applyFill="1" applyBorder="1" applyAlignment="1">
      <alignment horizontal="center" vertical="center" wrapText="1"/>
    </xf>
    <xf numFmtId="0" fontId="14" fillId="6" borderId="3" xfId="0" applyFont="1" applyFill="1" applyBorder="1" applyAlignment="1">
      <alignment horizontal="center" vertical="center" wrapText="1"/>
    </xf>
    <xf numFmtId="0" fontId="20" fillId="13" borderId="1" xfId="0" applyFont="1" applyFill="1" applyBorder="1" applyAlignment="1">
      <alignment horizontal="center"/>
    </xf>
    <xf numFmtId="0" fontId="14" fillId="5" borderId="2" xfId="0" applyFont="1" applyFill="1" applyBorder="1" applyAlignment="1">
      <alignment horizontal="center" vertical="center" wrapText="1"/>
    </xf>
    <xf numFmtId="0" fontId="14" fillId="5" borderId="3" xfId="0" applyFont="1" applyFill="1" applyBorder="1" applyAlignment="1">
      <alignment horizontal="center" vertical="center" wrapText="1"/>
    </xf>
    <xf numFmtId="0" fontId="15" fillId="5" borderId="8" xfId="0" applyFont="1" applyFill="1" applyBorder="1" applyAlignment="1">
      <alignment horizontal="center" vertical="center" wrapText="1"/>
    </xf>
    <xf numFmtId="0" fontId="15" fillId="5" borderId="7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8" fillId="15" borderId="5" xfId="0" applyFont="1" applyFill="1" applyBorder="1" applyAlignment="1">
      <alignment horizontal="left" vertical="center" wrapText="1"/>
    </xf>
    <xf numFmtId="0" fontId="25" fillId="15" borderId="6" xfId="0" applyFont="1" applyFill="1" applyBorder="1" applyAlignment="1">
      <alignment horizontal="left" vertical="center" wrapText="1"/>
    </xf>
    <xf numFmtId="0" fontId="25" fillId="15" borderId="8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2" xfId="0" applyFill="1" applyBorder="1" applyAlignment="1">
      <alignment horizontal="left" vertical="center" wrapText="1"/>
    </xf>
    <xf numFmtId="0" fontId="0" fillId="0" borderId="3" xfId="0" applyFill="1" applyBorder="1" applyAlignment="1">
      <alignment horizontal="left" vertical="center" wrapText="1"/>
    </xf>
    <xf numFmtId="0" fontId="0" fillId="0" borderId="4" xfId="0" applyFill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49" fontId="1" fillId="0" borderId="2" xfId="2" applyNumberFormat="1" applyFont="1" applyFill="1" applyBorder="1" applyAlignment="1">
      <alignment horizontal="center" vertical="center"/>
    </xf>
    <xf numFmtId="49" fontId="1" fillId="0" borderId="3" xfId="2" applyNumberFormat="1" applyFont="1" applyFill="1" applyBorder="1" applyAlignment="1">
      <alignment horizontal="center" vertical="center"/>
    </xf>
    <xf numFmtId="49" fontId="1" fillId="0" borderId="4" xfId="2" applyNumberFormat="1" applyFont="1" applyFill="1" applyBorder="1" applyAlignment="1">
      <alignment horizontal="center" vertical="center"/>
    </xf>
    <xf numFmtId="165" fontId="5" fillId="0" borderId="2" xfId="2" applyNumberFormat="1" applyFont="1" applyBorder="1" applyAlignment="1">
      <alignment horizontal="center" vertical="center"/>
    </xf>
    <xf numFmtId="165" fontId="5" fillId="0" borderId="3" xfId="2" applyNumberFormat="1" applyFont="1" applyBorder="1" applyAlignment="1">
      <alignment horizontal="center" vertical="center"/>
    </xf>
    <xf numFmtId="165" fontId="5" fillId="0" borderId="4" xfId="2" applyNumberFormat="1" applyFont="1" applyBorder="1" applyAlignment="1">
      <alignment horizontal="center" vertical="center"/>
    </xf>
    <xf numFmtId="165" fontId="18" fillId="5" borderId="2" xfId="2" applyNumberFormat="1" applyFont="1" applyFill="1" applyBorder="1" applyAlignment="1">
      <alignment horizontal="center" vertical="center"/>
    </xf>
    <xf numFmtId="165" fontId="18" fillId="5" borderId="3" xfId="2" applyNumberFormat="1" applyFont="1" applyFill="1" applyBorder="1" applyAlignment="1">
      <alignment horizontal="center" vertical="center"/>
    </xf>
    <xf numFmtId="165" fontId="18" fillId="5" borderId="4" xfId="2" applyNumberFormat="1" applyFont="1" applyFill="1" applyBorder="1" applyAlignment="1">
      <alignment horizontal="center" vertical="center"/>
    </xf>
    <xf numFmtId="165" fontId="22" fillId="0" borderId="2" xfId="2" applyNumberFormat="1" applyFont="1" applyBorder="1" applyAlignment="1">
      <alignment horizontal="center" vertical="center"/>
    </xf>
    <xf numFmtId="165" fontId="22" fillId="0" borderId="3" xfId="2" applyNumberFormat="1" applyFont="1" applyBorder="1" applyAlignment="1">
      <alignment horizontal="center" vertical="center"/>
    </xf>
    <xf numFmtId="165" fontId="22" fillId="0" borderId="4" xfId="2" applyNumberFormat="1" applyFont="1" applyBorder="1" applyAlignment="1">
      <alignment horizontal="center" vertical="center"/>
    </xf>
    <xf numFmtId="165" fontId="1" fillId="12" borderId="2" xfId="2" applyNumberFormat="1" applyFont="1" applyFill="1" applyBorder="1" applyAlignment="1">
      <alignment horizontal="center" vertical="center"/>
    </xf>
    <xf numFmtId="165" fontId="1" fillId="12" borderId="3" xfId="2" applyNumberFormat="1" applyFont="1" applyFill="1" applyBorder="1" applyAlignment="1">
      <alignment horizontal="center" vertical="center"/>
    </xf>
    <xf numFmtId="165" fontId="1" fillId="12" borderId="4" xfId="2" applyNumberFormat="1" applyFont="1" applyFill="1" applyBorder="1" applyAlignment="1">
      <alignment horizontal="center" vertical="center"/>
    </xf>
    <xf numFmtId="165" fontId="1" fillId="5" borderId="2" xfId="2" applyNumberFormat="1" applyFont="1" applyFill="1" applyBorder="1" applyAlignment="1">
      <alignment horizontal="center" vertical="center"/>
    </xf>
    <xf numFmtId="165" fontId="1" fillId="5" borderId="3" xfId="2" applyNumberFormat="1" applyFont="1" applyFill="1" applyBorder="1" applyAlignment="1">
      <alignment horizontal="center" vertical="center"/>
    </xf>
    <xf numFmtId="165" fontId="1" fillId="5" borderId="4" xfId="2" applyNumberFormat="1" applyFont="1" applyFill="1" applyBorder="1" applyAlignment="1">
      <alignment horizontal="center" vertical="center"/>
    </xf>
    <xf numFmtId="0" fontId="14" fillId="5" borderId="4" xfId="0" applyFont="1" applyFill="1" applyBorder="1" applyAlignment="1">
      <alignment horizontal="center" vertical="center" wrapText="1"/>
    </xf>
    <xf numFmtId="0" fontId="16" fillId="13" borderId="1" xfId="0" applyFont="1" applyFill="1" applyBorder="1" applyAlignment="1">
      <alignment horizontal="center"/>
    </xf>
    <xf numFmtId="0" fontId="14" fillId="6" borderId="4" xfId="0" applyFont="1" applyFill="1" applyBorder="1" applyAlignment="1">
      <alignment horizontal="center" vertical="center" wrapText="1"/>
    </xf>
    <xf numFmtId="0" fontId="45" fillId="13" borderId="5" xfId="0" applyFont="1" applyFill="1" applyBorder="1" applyAlignment="1">
      <alignment horizontal="center" vertical="center"/>
    </xf>
    <xf numFmtId="0" fontId="45" fillId="13" borderId="6" xfId="0" applyFont="1" applyFill="1" applyBorder="1" applyAlignment="1">
      <alignment horizontal="center" vertical="center"/>
    </xf>
    <xf numFmtId="0" fontId="45" fillId="13" borderId="8" xfId="0" applyFont="1" applyFill="1" applyBorder="1" applyAlignment="1">
      <alignment horizontal="center" vertical="center"/>
    </xf>
    <xf numFmtId="166" fontId="1" fillId="0" borderId="1" xfId="2" applyFont="1" applyFill="1" applyBorder="1" applyAlignment="1">
      <alignment horizontal="center" vertical="center"/>
    </xf>
    <xf numFmtId="166" fontId="1" fillId="0" borderId="1" xfId="2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14" fillId="15" borderId="6" xfId="0" applyFont="1" applyFill="1" applyBorder="1" applyAlignment="1">
      <alignment horizontal="left" vertical="center" wrapText="1"/>
    </xf>
    <xf numFmtId="0" fontId="14" fillId="15" borderId="8" xfId="0" applyFont="1" applyFill="1" applyBorder="1" applyAlignment="1">
      <alignment horizontal="left" vertical="center" wrapText="1"/>
    </xf>
    <xf numFmtId="0" fontId="25" fillId="3" borderId="5" xfId="0" applyFont="1" applyFill="1" applyBorder="1" applyAlignment="1">
      <alignment horizontal="left" vertical="center" wrapText="1"/>
    </xf>
    <xf numFmtId="0" fontId="25" fillId="3" borderId="6" xfId="0" applyFont="1" applyFill="1" applyBorder="1" applyAlignment="1">
      <alignment horizontal="left" vertical="center" wrapText="1"/>
    </xf>
    <xf numFmtId="0" fontId="25" fillId="3" borderId="8" xfId="0" applyFont="1" applyFill="1" applyBorder="1" applyAlignment="1">
      <alignment horizontal="left" vertical="center" wrapText="1"/>
    </xf>
    <xf numFmtId="166" fontId="1" fillId="0" borderId="1" xfId="2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 wrapText="1"/>
    </xf>
    <xf numFmtId="166" fontId="22" fillId="0" borderId="1" xfId="2" applyFont="1" applyFill="1" applyBorder="1" applyAlignment="1">
      <alignment horizontal="center" vertical="center" wrapText="1"/>
    </xf>
    <xf numFmtId="166" fontId="22" fillId="0" borderId="2" xfId="2" applyFont="1" applyFill="1" applyBorder="1" applyAlignment="1">
      <alignment horizontal="center" vertical="center"/>
    </xf>
    <xf numFmtId="166" fontId="22" fillId="0" borderId="3" xfId="2" applyFont="1" applyFill="1" applyBorder="1" applyAlignment="1">
      <alignment horizontal="center" vertical="center"/>
    </xf>
    <xf numFmtId="166" fontId="22" fillId="0" borderId="4" xfId="2" applyFont="1" applyFill="1" applyBorder="1" applyAlignment="1">
      <alignment horizontal="center" vertical="center"/>
    </xf>
    <xf numFmtId="0" fontId="22" fillId="0" borderId="2" xfId="0" applyFont="1" applyFill="1" applyBorder="1" applyAlignment="1">
      <alignment horizontal="left" vertical="center" wrapText="1"/>
    </xf>
    <xf numFmtId="0" fontId="22" fillId="0" borderId="3" xfId="0" applyFont="1" applyFill="1" applyBorder="1" applyAlignment="1">
      <alignment horizontal="left" vertical="center" wrapText="1"/>
    </xf>
    <xf numFmtId="0" fontId="22" fillId="0" borderId="4" xfId="0" applyFont="1" applyFill="1" applyBorder="1" applyAlignment="1">
      <alignment horizontal="left" vertical="center" wrapText="1"/>
    </xf>
    <xf numFmtId="0" fontId="6" fillId="33" borderId="1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6" fillId="33" borderId="9" xfId="0" applyFont="1" applyFill="1" applyBorder="1" applyAlignment="1">
      <alignment horizontal="center" vertical="center"/>
    </xf>
    <xf numFmtId="0" fontId="58" fillId="35" borderId="9" xfId="0" applyFont="1" applyFill="1" applyBorder="1" applyAlignment="1">
      <alignment horizontal="left" vertical="center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left"/>
    </xf>
    <xf numFmtId="0" fontId="58" fillId="36" borderId="9" xfId="0" applyFont="1" applyFill="1" applyBorder="1" applyAlignment="1">
      <alignment horizontal="left" vertical="center"/>
    </xf>
    <xf numFmtId="44" fontId="56" fillId="0" borderId="2" xfId="5" applyNumberFormat="1" applyFont="1" applyBorder="1" applyAlignment="1">
      <alignment horizontal="center" vertical="center" wrapText="1"/>
    </xf>
    <xf numFmtId="44" fontId="56" fillId="0" borderId="4" xfId="5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left" vertical="center"/>
    </xf>
    <xf numFmtId="44" fontId="4" fillId="0" borderId="2" xfId="5" applyNumberFormat="1" applyFont="1" applyBorder="1" applyAlignment="1">
      <alignment horizontal="center" vertical="center" wrapText="1"/>
    </xf>
    <xf numFmtId="44" fontId="4" fillId="0" borderId="4" xfId="5" applyNumberFormat="1" applyFont="1" applyBorder="1" applyAlignment="1">
      <alignment horizontal="center" vertical="center" wrapText="1"/>
    </xf>
    <xf numFmtId="44" fontId="22" fillId="0" borderId="2" xfId="0" applyNumberFormat="1" applyFont="1" applyFill="1" applyBorder="1" applyAlignment="1">
      <alignment horizontal="center" vertical="center" wrapText="1"/>
    </xf>
    <xf numFmtId="44" fontId="22" fillId="0" borderId="3" xfId="0" applyNumberFormat="1" applyFont="1" applyFill="1" applyBorder="1" applyAlignment="1">
      <alignment horizontal="center" vertical="center" wrapText="1"/>
    </xf>
    <xf numFmtId="44" fontId="22" fillId="0" borderId="4" xfId="0" applyNumberFormat="1" applyFont="1" applyFill="1" applyBorder="1" applyAlignment="1">
      <alignment horizontal="center" vertical="center" wrapText="1"/>
    </xf>
    <xf numFmtId="44" fontId="22" fillId="0" borderId="2" xfId="0" applyNumberFormat="1" applyFont="1" applyFill="1" applyBorder="1" applyAlignment="1">
      <alignment horizontal="center" wrapText="1"/>
    </xf>
    <xf numFmtId="44" fontId="22" fillId="0" borderId="4" xfId="0" applyNumberFormat="1" applyFont="1" applyFill="1" applyBorder="1" applyAlignment="1">
      <alignment horizontal="center" wrapText="1"/>
    </xf>
    <xf numFmtId="49" fontId="0" fillId="0" borderId="2" xfId="0" applyNumberFormat="1" applyBorder="1" applyAlignment="1">
      <alignment horizontal="left" vertical="center" wrapText="1"/>
    </xf>
    <xf numFmtId="49" fontId="0" fillId="0" borderId="4" xfId="0" applyNumberFormat="1" applyBorder="1" applyAlignment="1">
      <alignment horizontal="left" vertical="center" wrapText="1"/>
    </xf>
    <xf numFmtId="49" fontId="60" fillId="0" borderId="2" xfId="0" applyNumberFormat="1" applyFont="1" applyBorder="1" applyAlignment="1">
      <alignment horizontal="left" vertical="center" wrapText="1"/>
    </xf>
    <xf numFmtId="49" fontId="60" fillId="0" borderId="4" xfId="0" applyNumberFormat="1" applyFont="1" applyBorder="1" applyAlignment="1">
      <alignment horizontal="left" vertical="center" wrapText="1"/>
    </xf>
    <xf numFmtId="0" fontId="33" fillId="0" borderId="0" xfId="0" applyFont="1" applyAlignment="1">
      <alignment horizontal="center"/>
    </xf>
    <xf numFmtId="0" fontId="33" fillId="0" borderId="9" xfId="0" applyFont="1" applyBorder="1" applyAlignment="1">
      <alignment horizontal="center"/>
    </xf>
    <xf numFmtId="0" fontId="7" fillId="26" borderId="1" xfId="0" applyFont="1" applyFill="1" applyBorder="1" applyAlignment="1">
      <alignment horizontal="center" vertical="center" wrapText="1"/>
    </xf>
    <xf numFmtId="0" fontId="18" fillId="26" borderId="1" xfId="0" applyFont="1" applyFill="1" applyBorder="1" applyAlignment="1">
      <alignment horizontal="center" vertical="center" wrapText="1"/>
    </xf>
    <xf numFmtId="44" fontId="0" fillId="0" borderId="1" xfId="0" applyNumberFormat="1" applyBorder="1" applyAlignment="1">
      <alignment horizontal="center" vertical="center" wrapText="1"/>
    </xf>
  </cellXfs>
  <cellStyles count="6">
    <cellStyle name="Millares" xfId="2" builtinId="3"/>
    <cellStyle name="Moneda" xfId="4" builtinId="4"/>
    <cellStyle name="Normal" xfId="0" builtinId="0"/>
    <cellStyle name="Normal 3 3" xfId="5"/>
    <cellStyle name="Normal 4" xfId="1"/>
    <cellStyle name="Porcentaje" xfId="3" builtinId="5"/>
  </cellStyles>
  <dxfs count="0"/>
  <tableStyles count="0" defaultTableStyle="TableStyleMedium2" defaultPivotStyle="PivotStyleLight16"/>
  <colors>
    <mruColors>
      <color rgb="FFF2E5FF"/>
      <color rgb="FFCAAFFF"/>
      <color rgb="FF660066"/>
      <color rgb="FFFF99CC"/>
      <color rgb="FFCC99FF"/>
      <color rgb="FF0000CC"/>
      <color rgb="FFBC00BC"/>
      <color rgb="FFFFFF99"/>
      <color rgb="FF9900FF"/>
      <color rgb="FF962D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G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Lbls>
            <c:dLbl>
              <c:idx val="4"/>
              <c:layout>
                <c:manualLayout>
                  <c:x val="0"/>
                  <c:y val="2.09401688262835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3C4-49C5-90B4-D765819AE8C7}"/>
                </c:ext>
              </c:extLst>
            </c:dLbl>
            <c:dLbl>
              <c:idx val="5"/>
              <c:layout>
                <c:manualLayout>
                  <c:x val="1.297739307471126E-3"/>
                  <c:y val="-2.99145268946907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3C4-49C5-90B4-D765819AE8C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/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'RESUMEN en Euros'!$B$26:$B$37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'RESUMEN en Euros'!$C$26:$C$37</c:f>
              <c:numCache>
                <c:formatCode>_-* #,##0.00\ [$€-C0A]_-;\-* #,##0.00\ [$€-C0A]_-;_-* "-"??\ [$€-C0A]_-;_-@_-</c:formatCode>
                <c:ptCount val="12"/>
                <c:pt idx="0">
                  <c:v>0</c:v>
                </c:pt>
                <c:pt idx="1">
                  <c:v>73304.607837368763</c:v>
                </c:pt>
                <c:pt idx="2">
                  <c:v>144235.4538639223</c:v>
                </c:pt>
                <c:pt idx="3">
                  <c:v>69590.59642014213</c:v>
                </c:pt>
                <c:pt idx="4">
                  <c:v>264283.90834252787</c:v>
                </c:pt>
                <c:pt idx="5">
                  <c:v>123454.53440935865</c:v>
                </c:pt>
                <c:pt idx="6">
                  <c:v>95282.585556145539</c:v>
                </c:pt>
                <c:pt idx="7">
                  <c:v>248291.056813064</c:v>
                </c:pt>
                <c:pt idx="8">
                  <c:v>471568.52531871619</c:v>
                </c:pt>
                <c:pt idx="9">
                  <c:v>277589.93072753714</c:v>
                </c:pt>
                <c:pt idx="10">
                  <c:v>543975.8856766707</c:v>
                </c:pt>
                <c:pt idx="11">
                  <c:v>322336.46816202486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3C4-49C5-90B4-D765819AE8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7227904"/>
        <c:axId val="117229440"/>
      </c:barChart>
      <c:catAx>
        <c:axId val="1172279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17229440"/>
        <c:crosses val="autoZero"/>
        <c:auto val="1"/>
        <c:lblAlgn val="ctr"/>
        <c:lblOffset val="100"/>
        <c:noMultiLvlLbl val="0"/>
      </c:catAx>
      <c:valAx>
        <c:axId val="117229440"/>
        <c:scaling>
          <c:orientation val="minMax"/>
        </c:scaling>
        <c:delete val="0"/>
        <c:axPos val="l"/>
        <c:majorGridlines/>
        <c:numFmt formatCode="_-* #,##0.00\ [$€-C0A]_-;\-* #,##0.00\ [$€-C0A]_-;_-* &quot;-&quot;??\ [$€-C0A]_-;_-@_-" sourceLinked="1"/>
        <c:majorTickMark val="out"/>
        <c:minorTickMark val="none"/>
        <c:tickLblPos val="nextTo"/>
        <c:crossAx val="11722790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G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Lbls>
            <c:dLbl>
              <c:idx val="1"/>
              <c:layout>
                <c:manualLayout>
                  <c:x val="-1.4945170349558463E-3"/>
                  <c:y val="3.99040185204410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403-48C1-ACDC-6B593CFBE523}"/>
                </c:ext>
              </c:extLst>
            </c:dLbl>
            <c:dLbl>
              <c:idx val="2"/>
              <c:layout>
                <c:manualLayout>
                  <c:x val="4.4835511048675388E-3"/>
                  <c:y val="8.006652631189610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403-48C1-ACDC-6B593CFBE523}"/>
                </c:ext>
              </c:extLst>
            </c:dLbl>
            <c:dLbl>
              <c:idx val="3"/>
              <c:layout>
                <c:manualLayout>
                  <c:x val="4.740745902241033E-3"/>
                  <c:y val="-7.440498081505239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403-48C1-ACDC-6B593CFBE523}"/>
                </c:ext>
              </c:extLst>
            </c:dLbl>
            <c:dLbl>
              <c:idx val="4"/>
              <c:layout>
                <c:manualLayout>
                  <c:x val="0"/>
                  <c:y val="1.23669779187789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FC4-4578-BB62-F6F8FE922A2E}"/>
                </c:ext>
              </c:extLst>
            </c:dLbl>
            <c:dLbl>
              <c:idx val="5"/>
              <c:layout>
                <c:manualLayout>
                  <c:x val="5.9528090474833028E-3"/>
                  <c:y val="2.086828017210664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FC4-4578-BB62-F6F8FE922A2E}"/>
                </c:ext>
              </c:extLst>
            </c:dLbl>
            <c:dLbl>
              <c:idx val="6"/>
              <c:layout>
                <c:manualLayout>
                  <c:x val="1.5802486340803638E-3"/>
                  <c:y val="-9.7860525768803679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403-48C1-ACDC-6B593CFBE52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/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'RESUMEN en Q'!$B$26:$B$37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'RESUMEN en Q'!$C$26:$C$37</c:f>
              <c:numCache>
                <c:formatCode>_-"Q"* #,##0.00_-;\-"Q"* #,##0.00_-;_-"Q"* "-"??_-;_-@_-</c:formatCode>
                <c:ptCount val="12"/>
                <c:pt idx="0">
                  <c:v>0</c:v>
                </c:pt>
                <c:pt idx="1">
                  <c:v>685110.17999999993</c:v>
                </c:pt>
                <c:pt idx="2">
                  <c:v>1348035.01</c:v>
                </c:pt>
                <c:pt idx="3">
                  <c:v>650398.76</c:v>
                </c:pt>
                <c:pt idx="4">
                  <c:v>2470016.5700000003</c:v>
                </c:pt>
                <c:pt idx="5">
                  <c:v>1153815.03</c:v>
                </c:pt>
                <c:pt idx="6">
                  <c:v>890517.95333333337</c:v>
                </c:pt>
                <c:pt idx="7">
                  <c:v>2320546.2200000002</c:v>
                </c:pt>
                <c:pt idx="8">
                  <c:v>4407313.63</c:v>
                </c:pt>
                <c:pt idx="9">
                  <c:v>2594375.62</c:v>
                </c:pt>
                <c:pt idx="10">
                  <c:v>5084038.07</c:v>
                </c:pt>
                <c:pt idx="11">
                  <c:v>3012580.0033333334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DFC4-4578-BB62-F6F8FE922A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1117696"/>
        <c:axId val="121127680"/>
      </c:barChart>
      <c:catAx>
        <c:axId val="1211176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21127680"/>
        <c:crosses val="autoZero"/>
        <c:auto val="1"/>
        <c:lblAlgn val="ctr"/>
        <c:lblOffset val="100"/>
        <c:noMultiLvlLbl val="0"/>
      </c:catAx>
      <c:valAx>
        <c:axId val="121127680"/>
        <c:scaling>
          <c:orientation val="minMax"/>
        </c:scaling>
        <c:delete val="0"/>
        <c:axPos val="l"/>
        <c:majorGridlines/>
        <c:numFmt formatCode="_-&quot;Q&quot;* #,##0.00_-;\-&quot;Q&quot;* #,##0.00_-;_-&quot;Q&quot;* &quot;-&quot;??_-;_-@_-" sourceLinked="1"/>
        <c:majorTickMark val="out"/>
        <c:minorTickMark val="none"/>
        <c:tickLblPos val="nextTo"/>
        <c:crossAx val="12111769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114300</xdr:rowOff>
    </xdr:from>
    <xdr:to>
      <xdr:col>6</xdr:col>
      <xdr:colOff>323850</xdr:colOff>
      <xdr:row>3</xdr:row>
      <xdr:rowOff>0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0" y="238125"/>
          <a:ext cx="2647950" cy="6953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343424</xdr:colOff>
      <xdr:row>0</xdr:row>
      <xdr:rowOff>13494</xdr:rowOff>
    </xdr:from>
    <xdr:to>
      <xdr:col>2</xdr:col>
      <xdr:colOff>1190625</xdr:colOff>
      <xdr:row>5</xdr:row>
      <xdr:rowOff>161510</xdr:rowOff>
    </xdr:to>
    <xdr:pic>
      <xdr:nvPicPr>
        <xdr:cNvPr id="2" name="2 Imagen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3424" y="13494"/>
          <a:ext cx="3954732" cy="1171954"/>
        </a:xfrm>
        <a:prstGeom prst="rect">
          <a:avLst/>
        </a:prstGeom>
      </xdr:spPr>
    </xdr:pic>
    <xdr:clientData/>
  </xdr:twoCellAnchor>
  <xdr:twoCellAnchor>
    <xdr:from>
      <xdr:col>9</xdr:col>
      <xdr:colOff>799042</xdr:colOff>
      <xdr:row>35</xdr:row>
      <xdr:rowOff>9525</xdr:rowOff>
    </xdr:from>
    <xdr:to>
      <xdr:col>13</xdr:col>
      <xdr:colOff>517904</xdr:colOff>
      <xdr:row>35</xdr:row>
      <xdr:rowOff>20417</xdr:rowOff>
    </xdr:to>
    <xdr:cxnSp macro="">
      <xdr:nvCxnSpPr>
        <xdr:cNvPr id="3" name="6 Conector recto de flecha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CxnSpPr/>
      </xdr:nvCxnSpPr>
      <xdr:spPr>
        <a:xfrm flipV="1">
          <a:off x="12324292" y="7677150"/>
          <a:ext cx="2183456" cy="10892"/>
        </a:xfrm>
        <a:prstGeom prst="straightConnector1">
          <a:avLst/>
        </a:prstGeom>
        <a:ln w="57150">
          <a:solidFill>
            <a:srgbClr val="660066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226218</xdr:colOff>
      <xdr:row>19</xdr:row>
      <xdr:rowOff>257856</xdr:rowOff>
    </xdr:from>
    <xdr:to>
      <xdr:col>17</xdr:col>
      <xdr:colOff>881062</xdr:colOff>
      <xdr:row>34</xdr:row>
      <xdr:rowOff>11906</xdr:rowOff>
    </xdr:to>
    <xdr:graphicFrame macro="">
      <xdr:nvGraphicFramePr>
        <xdr:cNvPr id="4" name="7 Gráfico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831754</xdr:colOff>
      <xdr:row>35</xdr:row>
      <xdr:rowOff>160767</xdr:rowOff>
    </xdr:from>
    <xdr:to>
      <xdr:col>13</xdr:col>
      <xdr:colOff>617803</xdr:colOff>
      <xdr:row>39</xdr:row>
      <xdr:rowOff>130969</xdr:rowOff>
    </xdr:to>
    <xdr:sp macro="" textlink="">
      <xdr:nvSpPr>
        <xdr:cNvPr id="5" name="10 CuadroTexto"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12357004" y="7828392"/>
          <a:ext cx="2250643" cy="732202"/>
        </a:xfrm>
        <a:prstGeom prst="rect">
          <a:avLst/>
        </a:prstGeom>
        <a:solidFill>
          <a:schemeClr val="bg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GT" sz="1200" b="1">
              <a:solidFill>
                <a:srgbClr val="002060"/>
              </a:solidFill>
            </a:rPr>
            <a:t>Ejecución</a:t>
          </a:r>
          <a:r>
            <a:rPr lang="es-GT" sz="1200" b="1" baseline="0">
              <a:solidFill>
                <a:srgbClr val="002060"/>
              </a:solidFill>
            </a:rPr>
            <a:t> prevista febrero-abril</a:t>
          </a:r>
        </a:p>
        <a:p>
          <a:pPr algn="ctr"/>
          <a:r>
            <a:rPr lang="es-GT" sz="1200" b="1" baseline="0">
              <a:solidFill>
                <a:srgbClr val="002060"/>
              </a:solidFill>
            </a:rPr>
            <a:t>304,672.66 eur </a:t>
          </a:r>
        </a:p>
      </xdr:txBody>
    </xdr:sp>
    <xdr:clientData/>
  </xdr:twoCellAnchor>
  <xdr:twoCellAnchor>
    <xdr:from>
      <xdr:col>13</xdr:col>
      <xdr:colOff>992940</xdr:colOff>
      <xdr:row>35</xdr:row>
      <xdr:rowOff>0</xdr:rowOff>
    </xdr:from>
    <xdr:to>
      <xdr:col>16</xdr:col>
      <xdr:colOff>464344</xdr:colOff>
      <xdr:row>35</xdr:row>
      <xdr:rowOff>697</xdr:rowOff>
    </xdr:to>
    <xdr:cxnSp macro="">
      <xdr:nvCxnSpPr>
        <xdr:cNvPr id="6" name="12 Conector recto de flecha">
          <a:extLst>
            <a:ext uri="{FF2B5EF4-FFF2-40B4-BE49-F238E27FC236}">
              <a16:creationId xmlns="" xmlns:a16="http://schemas.microsoft.com/office/drawing/2014/main" id="{00000000-0008-0000-0100-000006000000}"/>
            </a:ext>
          </a:extLst>
        </xdr:cNvPr>
        <xdr:cNvCxnSpPr/>
      </xdr:nvCxnSpPr>
      <xdr:spPr>
        <a:xfrm flipV="1">
          <a:off x="14982784" y="7667625"/>
          <a:ext cx="4210091" cy="697"/>
        </a:xfrm>
        <a:prstGeom prst="straightConnector1">
          <a:avLst/>
        </a:prstGeom>
        <a:ln w="57150">
          <a:solidFill>
            <a:srgbClr val="660066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1021517</xdr:colOff>
      <xdr:row>35</xdr:row>
      <xdr:rowOff>174179</xdr:rowOff>
    </xdr:from>
    <xdr:to>
      <xdr:col>16</xdr:col>
      <xdr:colOff>381000</xdr:colOff>
      <xdr:row>39</xdr:row>
      <xdr:rowOff>142875</xdr:rowOff>
    </xdr:to>
    <xdr:sp macro="" textlink="">
      <xdr:nvSpPr>
        <xdr:cNvPr id="7" name="14 CuadroTexto">
          <a:extLst>
            <a:ext uri="{FF2B5EF4-FFF2-40B4-BE49-F238E27FC236}">
              <a16:creationId xmlns=""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15011361" y="7841804"/>
          <a:ext cx="4098170" cy="730696"/>
        </a:xfrm>
        <a:prstGeom prst="rect">
          <a:avLst/>
        </a:prstGeom>
        <a:solidFill>
          <a:schemeClr val="bg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GT" sz="1200" b="1">
              <a:solidFill>
                <a:srgbClr val="002060"/>
              </a:solidFill>
            </a:rPr>
            <a:t>Ejecución</a:t>
          </a:r>
          <a:r>
            <a:rPr lang="es-GT" sz="1200" b="1" baseline="0">
              <a:solidFill>
                <a:srgbClr val="002060"/>
              </a:solidFill>
            </a:rPr>
            <a:t> prevista Mayo-octubre</a:t>
          </a:r>
        </a:p>
        <a:p>
          <a:pPr algn="ctr"/>
          <a:r>
            <a:rPr lang="es-GT" sz="1200" b="1" baseline="0">
              <a:solidFill>
                <a:srgbClr val="002060"/>
              </a:solidFill>
            </a:rPr>
            <a:t>1,461,120.59 Eur </a:t>
          </a:r>
        </a:p>
      </xdr:txBody>
    </xdr:sp>
    <xdr:clientData/>
  </xdr:twoCellAnchor>
  <xdr:twoCellAnchor>
    <xdr:from>
      <xdr:col>16</xdr:col>
      <xdr:colOff>666750</xdr:colOff>
      <xdr:row>35</xdr:row>
      <xdr:rowOff>11906</xdr:rowOff>
    </xdr:from>
    <xdr:to>
      <xdr:col>17</xdr:col>
      <xdr:colOff>631031</xdr:colOff>
      <xdr:row>35</xdr:row>
      <xdr:rowOff>11906</xdr:rowOff>
    </xdr:to>
    <xdr:cxnSp macro="">
      <xdr:nvCxnSpPr>
        <xdr:cNvPr id="8" name="15 Conector recto de flecha">
          <a:extLst>
            <a:ext uri="{FF2B5EF4-FFF2-40B4-BE49-F238E27FC236}">
              <a16:creationId xmlns="" xmlns:a16="http://schemas.microsoft.com/office/drawing/2014/main" id="{00000000-0008-0000-0100-000008000000}"/>
            </a:ext>
          </a:extLst>
        </xdr:cNvPr>
        <xdr:cNvCxnSpPr/>
      </xdr:nvCxnSpPr>
      <xdr:spPr>
        <a:xfrm>
          <a:off x="19395281" y="7679531"/>
          <a:ext cx="1333500" cy="0"/>
        </a:xfrm>
        <a:prstGeom prst="straightConnector1">
          <a:avLst/>
        </a:prstGeom>
        <a:ln w="57150">
          <a:solidFill>
            <a:srgbClr val="660066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631031</xdr:colOff>
      <xdr:row>35</xdr:row>
      <xdr:rowOff>152749</xdr:rowOff>
    </xdr:from>
    <xdr:to>
      <xdr:col>17</xdr:col>
      <xdr:colOff>952496</xdr:colOff>
      <xdr:row>39</xdr:row>
      <xdr:rowOff>119062</xdr:rowOff>
    </xdr:to>
    <xdr:sp macro="" textlink="">
      <xdr:nvSpPr>
        <xdr:cNvPr id="9" name="16 CuadroTexto">
          <a:extLst>
            <a:ext uri="{FF2B5EF4-FFF2-40B4-BE49-F238E27FC236}">
              <a16:creationId xmlns="" xmlns:a16="http://schemas.microsoft.com/office/drawing/2014/main" id="{00000000-0008-0000-0100-000009000000}"/>
            </a:ext>
          </a:extLst>
        </xdr:cNvPr>
        <xdr:cNvSpPr txBox="1"/>
      </xdr:nvSpPr>
      <xdr:spPr>
        <a:xfrm>
          <a:off x="19359562" y="7820374"/>
          <a:ext cx="1690684" cy="728313"/>
        </a:xfrm>
        <a:prstGeom prst="rect">
          <a:avLst/>
        </a:prstGeom>
        <a:solidFill>
          <a:schemeClr val="bg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GT" sz="1200" b="1">
              <a:solidFill>
                <a:srgbClr val="002060"/>
              </a:solidFill>
            </a:rPr>
            <a:t>Ejecución</a:t>
          </a:r>
          <a:r>
            <a:rPr lang="es-GT" sz="1200" b="1" baseline="0">
              <a:solidFill>
                <a:srgbClr val="002060"/>
              </a:solidFill>
            </a:rPr>
            <a:t> prevista </a:t>
          </a:r>
        </a:p>
        <a:p>
          <a:pPr algn="ctr"/>
          <a:r>
            <a:rPr lang="es-GT" sz="1200" b="1" baseline="0">
              <a:solidFill>
                <a:srgbClr val="002060"/>
              </a:solidFill>
            </a:rPr>
            <a:t>Sept-dic </a:t>
          </a:r>
        </a:p>
        <a:p>
          <a:pPr algn="ctr"/>
          <a:r>
            <a:rPr lang="es-GT" sz="1200" b="1" baseline="0">
              <a:solidFill>
                <a:srgbClr val="002060"/>
              </a:solidFill>
            </a:rPr>
            <a:t>885,057.24 Eur 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33862</xdr:colOff>
      <xdr:row>0</xdr:row>
      <xdr:rowOff>25400</xdr:rowOff>
    </xdr:from>
    <xdr:to>
      <xdr:col>2</xdr:col>
      <xdr:colOff>881063</xdr:colOff>
      <xdr:row>5</xdr:row>
      <xdr:rowOff>211516</xdr:rowOff>
    </xdr:to>
    <xdr:pic>
      <xdr:nvPicPr>
        <xdr:cNvPr id="3" name="2 Imagen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862" y="25400"/>
          <a:ext cx="3954732" cy="1171954"/>
        </a:xfrm>
        <a:prstGeom prst="rect">
          <a:avLst/>
        </a:prstGeom>
      </xdr:spPr>
    </xdr:pic>
    <xdr:clientData/>
  </xdr:twoCellAnchor>
  <xdr:twoCellAnchor>
    <xdr:from>
      <xdr:col>8</xdr:col>
      <xdr:colOff>1047750</xdr:colOff>
      <xdr:row>49</xdr:row>
      <xdr:rowOff>38100</xdr:rowOff>
    </xdr:from>
    <xdr:to>
      <xdr:col>10</xdr:col>
      <xdr:colOff>646045</xdr:colOff>
      <xdr:row>49</xdr:row>
      <xdr:rowOff>38100</xdr:rowOff>
    </xdr:to>
    <xdr:cxnSp macro="">
      <xdr:nvCxnSpPr>
        <xdr:cNvPr id="7" name="6 Conector recto de flecha">
          <a:extLst>
            <a:ext uri="{FF2B5EF4-FFF2-40B4-BE49-F238E27FC236}">
              <a16:creationId xmlns="" xmlns:a16="http://schemas.microsoft.com/office/drawing/2014/main" id="{00000000-0008-0000-0200-000007000000}"/>
            </a:ext>
          </a:extLst>
        </xdr:cNvPr>
        <xdr:cNvCxnSpPr/>
      </xdr:nvCxnSpPr>
      <xdr:spPr>
        <a:xfrm>
          <a:off x="12773025" y="10172700"/>
          <a:ext cx="2522470" cy="0"/>
        </a:xfrm>
        <a:prstGeom prst="straightConnector1">
          <a:avLst/>
        </a:prstGeom>
        <a:ln w="57150">
          <a:solidFill>
            <a:srgbClr val="660066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8</xdr:colOff>
      <xdr:row>23</xdr:row>
      <xdr:rowOff>262618</xdr:rowOff>
    </xdr:from>
    <xdr:to>
      <xdr:col>20</xdr:col>
      <xdr:colOff>1381125</xdr:colOff>
      <xdr:row>48</xdr:row>
      <xdr:rowOff>68036</xdr:rowOff>
    </xdr:to>
    <xdr:graphicFrame macro="">
      <xdr:nvGraphicFramePr>
        <xdr:cNvPr id="8" name="7 Gráfico">
          <a:extLst>
            <a:ext uri="{FF2B5EF4-FFF2-40B4-BE49-F238E27FC236}">
              <a16:creationId xmlns="" xmlns:a16="http://schemas.microsoft.com/office/drawing/2014/main" id="{00000000-0008-0000-02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1133474</xdr:colOff>
      <xdr:row>51</xdr:row>
      <xdr:rowOff>70280</xdr:rowOff>
    </xdr:from>
    <xdr:to>
      <xdr:col>10</xdr:col>
      <xdr:colOff>581024</xdr:colOff>
      <xdr:row>54</xdr:row>
      <xdr:rowOff>19050</xdr:rowOff>
    </xdr:to>
    <xdr:sp macro="" textlink="">
      <xdr:nvSpPr>
        <xdr:cNvPr id="11" name="10 CuadroTexto">
          <a:extLst>
            <a:ext uri="{FF2B5EF4-FFF2-40B4-BE49-F238E27FC236}">
              <a16:creationId xmlns="" xmlns:a16="http://schemas.microsoft.com/office/drawing/2014/main" id="{00000000-0008-0000-0200-00000B000000}"/>
            </a:ext>
          </a:extLst>
        </xdr:cNvPr>
        <xdr:cNvSpPr txBox="1"/>
      </xdr:nvSpPr>
      <xdr:spPr>
        <a:xfrm>
          <a:off x="12858749" y="10566830"/>
          <a:ext cx="2371725" cy="491695"/>
        </a:xfrm>
        <a:prstGeom prst="rect">
          <a:avLst/>
        </a:prstGeom>
        <a:solidFill>
          <a:schemeClr val="bg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GT" sz="1200" b="1">
              <a:solidFill>
                <a:srgbClr val="002060"/>
              </a:solidFill>
            </a:rPr>
            <a:t>Ejecución</a:t>
          </a:r>
          <a:r>
            <a:rPr lang="es-GT" sz="1200" b="1" baseline="0">
              <a:solidFill>
                <a:srgbClr val="002060"/>
              </a:solidFill>
            </a:rPr>
            <a:t> prevista </a:t>
          </a:r>
        </a:p>
        <a:p>
          <a:pPr algn="ctr"/>
          <a:r>
            <a:rPr lang="es-GT" sz="1200" b="1" baseline="0">
              <a:solidFill>
                <a:srgbClr val="002060"/>
              </a:solidFill>
            </a:rPr>
            <a:t>Febrero-Abril</a:t>
          </a:r>
        </a:p>
      </xdr:txBody>
    </xdr:sp>
    <xdr:clientData/>
  </xdr:twoCellAnchor>
  <xdr:twoCellAnchor>
    <xdr:from>
      <xdr:col>10</xdr:col>
      <xdr:colOff>762001</xdr:colOff>
      <xdr:row>49</xdr:row>
      <xdr:rowOff>57149</xdr:rowOff>
    </xdr:from>
    <xdr:to>
      <xdr:col>20</xdr:col>
      <xdr:colOff>55800</xdr:colOff>
      <xdr:row>49</xdr:row>
      <xdr:rowOff>57152</xdr:rowOff>
    </xdr:to>
    <xdr:cxnSp macro="">
      <xdr:nvCxnSpPr>
        <xdr:cNvPr id="13" name="12 Conector recto de flecha">
          <a:extLst>
            <a:ext uri="{FF2B5EF4-FFF2-40B4-BE49-F238E27FC236}">
              <a16:creationId xmlns="" xmlns:a16="http://schemas.microsoft.com/office/drawing/2014/main" id="{00000000-0008-0000-0200-00000D000000}"/>
            </a:ext>
          </a:extLst>
        </xdr:cNvPr>
        <xdr:cNvCxnSpPr/>
      </xdr:nvCxnSpPr>
      <xdr:spPr>
        <a:xfrm flipV="1">
          <a:off x="15411451" y="10191749"/>
          <a:ext cx="3856274" cy="3"/>
        </a:xfrm>
        <a:prstGeom prst="straightConnector1">
          <a:avLst/>
        </a:prstGeom>
        <a:ln w="57150">
          <a:solidFill>
            <a:srgbClr val="660066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811966</xdr:colOff>
      <xdr:row>51</xdr:row>
      <xdr:rowOff>57150</xdr:rowOff>
    </xdr:from>
    <xdr:to>
      <xdr:col>19</xdr:col>
      <xdr:colOff>609600</xdr:colOff>
      <xdr:row>54</xdr:row>
      <xdr:rowOff>9246</xdr:rowOff>
    </xdr:to>
    <xdr:sp macro="" textlink="">
      <xdr:nvSpPr>
        <xdr:cNvPr id="15" name="14 CuadroTexto">
          <a:extLst>
            <a:ext uri="{FF2B5EF4-FFF2-40B4-BE49-F238E27FC236}">
              <a16:creationId xmlns="" xmlns:a16="http://schemas.microsoft.com/office/drawing/2014/main" id="{00000000-0008-0000-0200-00000F000000}"/>
            </a:ext>
          </a:extLst>
        </xdr:cNvPr>
        <xdr:cNvSpPr txBox="1"/>
      </xdr:nvSpPr>
      <xdr:spPr>
        <a:xfrm>
          <a:off x="15461416" y="10572750"/>
          <a:ext cx="3826709" cy="495021"/>
        </a:xfrm>
        <a:prstGeom prst="rect">
          <a:avLst/>
        </a:prstGeom>
        <a:solidFill>
          <a:schemeClr val="bg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GT" sz="1200" b="1">
              <a:solidFill>
                <a:srgbClr val="002060"/>
              </a:solidFill>
            </a:rPr>
            <a:t>Ejecución</a:t>
          </a:r>
          <a:r>
            <a:rPr lang="es-GT" sz="1200" b="1" baseline="0">
              <a:solidFill>
                <a:srgbClr val="002060"/>
              </a:solidFill>
            </a:rPr>
            <a:t> prevista </a:t>
          </a:r>
        </a:p>
        <a:p>
          <a:pPr algn="ctr"/>
          <a:r>
            <a:rPr lang="es-GT" sz="1200" b="1" baseline="0">
              <a:solidFill>
                <a:srgbClr val="002060"/>
              </a:solidFill>
            </a:rPr>
            <a:t>Mayo-Octubre</a:t>
          </a:r>
          <a:endParaRPr lang="es-GT" sz="1200" b="1">
            <a:solidFill>
              <a:srgbClr val="002060"/>
            </a:solidFill>
          </a:endParaRPr>
        </a:p>
      </xdr:txBody>
    </xdr:sp>
    <xdr:clientData/>
  </xdr:twoCellAnchor>
  <xdr:twoCellAnchor>
    <xdr:from>
      <xdr:col>20</xdr:col>
      <xdr:colOff>76200</xdr:colOff>
      <xdr:row>51</xdr:row>
      <xdr:rowOff>66674</xdr:rowOff>
    </xdr:from>
    <xdr:to>
      <xdr:col>21</xdr:col>
      <xdr:colOff>123825</xdr:colOff>
      <xdr:row>54</xdr:row>
      <xdr:rowOff>4484</xdr:rowOff>
    </xdr:to>
    <xdr:sp macro="" textlink="">
      <xdr:nvSpPr>
        <xdr:cNvPr id="17" name="16 CuadroTexto">
          <a:extLst>
            <a:ext uri="{FF2B5EF4-FFF2-40B4-BE49-F238E27FC236}">
              <a16:creationId xmlns="" xmlns:a16="http://schemas.microsoft.com/office/drawing/2014/main" id="{00000000-0008-0000-0200-000011000000}"/>
            </a:ext>
          </a:extLst>
        </xdr:cNvPr>
        <xdr:cNvSpPr txBox="1"/>
      </xdr:nvSpPr>
      <xdr:spPr>
        <a:xfrm>
          <a:off x="19288125" y="10563224"/>
          <a:ext cx="1666875" cy="480735"/>
        </a:xfrm>
        <a:prstGeom prst="rect">
          <a:avLst/>
        </a:prstGeom>
        <a:solidFill>
          <a:schemeClr val="bg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GT" sz="1200" b="1">
              <a:solidFill>
                <a:srgbClr val="002060"/>
              </a:solidFill>
            </a:rPr>
            <a:t>Ejecución</a:t>
          </a:r>
          <a:r>
            <a:rPr lang="es-GT" sz="1200" b="1" baseline="0">
              <a:solidFill>
                <a:srgbClr val="002060"/>
              </a:solidFill>
            </a:rPr>
            <a:t> prevista Noviembre-diciembre</a:t>
          </a:r>
        </a:p>
      </xdr:txBody>
    </xdr:sp>
    <xdr:clientData/>
  </xdr:twoCellAnchor>
  <xdr:twoCellAnchor>
    <xdr:from>
      <xdr:col>20</xdr:col>
      <xdr:colOff>100012</xdr:colOff>
      <xdr:row>49</xdr:row>
      <xdr:rowOff>47625</xdr:rowOff>
    </xdr:from>
    <xdr:to>
      <xdr:col>21</xdr:col>
      <xdr:colOff>7143</xdr:colOff>
      <xdr:row>49</xdr:row>
      <xdr:rowOff>59531</xdr:rowOff>
    </xdr:to>
    <xdr:cxnSp macro="">
      <xdr:nvCxnSpPr>
        <xdr:cNvPr id="10" name="12 Conector recto de flecha">
          <a:extLst>
            <a:ext uri="{FF2B5EF4-FFF2-40B4-BE49-F238E27FC236}">
              <a16:creationId xmlns="" xmlns:a16="http://schemas.microsoft.com/office/drawing/2014/main" id="{00000000-0008-0000-0200-00000A000000}"/>
            </a:ext>
          </a:extLst>
        </xdr:cNvPr>
        <xdr:cNvCxnSpPr/>
      </xdr:nvCxnSpPr>
      <xdr:spPr>
        <a:xfrm flipV="1">
          <a:off x="19311937" y="10182225"/>
          <a:ext cx="1526381" cy="11906"/>
        </a:xfrm>
        <a:prstGeom prst="straightConnector1">
          <a:avLst/>
        </a:prstGeom>
        <a:ln w="57150">
          <a:solidFill>
            <a:srgbClr val="660066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1095103</xdr:colOff>
      <xdr:row>3</xdr:row>
      <xdr:rowOff>122192</xdr:rowOff>
    </xdr:from>
    <xdr:to>
      <xdr:col>17</xdr:col>
      <xdr:colOff>676003</xdr:colOff>
      <xdr:row>16</xdr:row>
      <xdr:rowOff>21772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30583" y="655592"/>
          <a:ext cx="8313420" cy="2285728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24</xdr:row>
      <xdr:rowOff>231320</xdr:rowOff>
    </xdr:from>
    <xdr:to>
      <xdr:col>29</xdr:col>
      <xdr:colOff>1796143</xdr:colOff>
      <xdr:row>28</xdr:row>
      <xdr:rowOff>217714</xdr:rowOff>
    </xdr:to>
    <xdr:pic>
      <xdr:nvPicPr>
        <xdr:cNvPr id="8" name="Imagen 7">
          <a:extLst>
            <a:ext uri="{FF2B5EF4-FFF2-40B4-BE49-F238E27FC236}">
              <a16:creationId xmlns="" xmlns:a16="http://schemas.microsoft.com/office/drawing/2014/main" id="{CE1DD256-CA4F-469F-A599-D2C218950ABA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07429" y="4816927"/>
          <a:ext cx="9007928" cy="91168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84364</xdr:colOff>
      <xdr:row>2</xdr:row>
      <xdr:rowOff>20410</xdr:rowOff>
    </xdr:from>
    <xdr:to>
      <xdr:col>6</xdr:col>
      <xdr:colOff>1336221</xdr:colOff>
      <xdr:row>7</xdr:row>
      <xdr:rowOff>484414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364" y="442231"/>
          <a:ext cx="4844143" cy="150359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aura.hernandez\Downloads\POA%20COOP%20DELEGAD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Propuesta%20POM%20PROGRAMA%20PREVI%202021-2022%20(03032021)v.9%20(SEICMSJ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Datos "/>
      <sheetName val="2. PROG TÉC GLOBAL"/>
      <sheetName val="3. PROG PRES GLOBAL"/>
      <sheetName val="4. ACUM "/>
      <sheetName val="6. COMPROMISOS"/>
      <sheetName val="F 7 - LISTADO CRONOLOGICO"/>
      <sheetName val="A1"/>
      <sheetName val="7. SEG TÉC A1"/>
      <sheetName val="A2"/>
      <sheetName val="7. SEG TÉC A2"/>
      <sheetName val="A3"/>
      <sheetName val="7. SEG TÉC A3"/>
      <sheetName val="A4"/>
      <sheetName val="7. SEG TÉC A4"/>
    </sheetNames>
    <sheetDataSet>
      <sheetData sheetId="0">
        <row r="26">
          <cell r="B26" t="str">
            <v>Tasa de Cambio Total POA **</v>
          </cell>
        </row>
      </sheetData>
      <sheetData sheetId="1">
        <row r="8">
          <cell r="S8" t="str">
            <v>FINANCIADOR 1</v>
          </cell>
        </row>
        <row r="664">
          <cell r="AS664" t="str">
            <v>Seleccionar ……..</v>
          </cell>
        </row>
        <row r="665">
          <cell r="AS665" t="str">
            <v>1.1.1 Personal Técnico Resultados</v>
          </cell>
        </row>
        <row r="666">
          <cell r="AS666" t="str">
            <v>1.1.2 Personal administrativo y de apoyo  - Unidad de Gestión</v>
          </cell>
        </row>
        <row r="667">
          <cell r="AS667" t="str">
            <v>1.3.2.1 Comisiones de servicios Responsable de Proyecto</v>
          </cell>
        </row>
        <row r="668">
          <cell r="AS668" t="str">
            <v>1.3.2.2 Gastos de viaje Personal Técnico Resultados</v>
          </cell>
        </row>
        <row r="669">
          <cell r="AS669" t="str">
            <v>1.3.2.3 Gastos de viaje Unidad de Gestión</v>
          </cell>
        </row>
        <row r="670">
          <cell r="AS670" t="str">
            <v>2.2 Transporte local</v>
          </cell>
        </row>
        <row r="671">
          <cell r="AS671" t="str">
            <v xml:space="preserve">3.1 Compra de vehículos </v>
          </cell>
        </row>
        <row r="672">
          <cell r="AS672" t="str">
            <v>3.2 Seguro vehículo y mantenimiento</v>
          </cell>
        </row>
        <row r="673">
          <cell r="AS673" t="str">
            <v>3.3 Equipamiento oficina</v>
          </cell>
        </row>
        <row r="674">
          <cell r="AS674" t="str">
            <v>3.5 Alquiler de vehículos</v>
          </cell>
        </row>
        <row r="675">
          <cell r="AS675" t="str">
            <v>4.1 Costes de vehículos - Combustible</v>
          </cell>
        </row>
        <row r="676">
          <cell r="AS676" t="str">
            <v>4.2 Alquiler de oficina</v>
          </cell>
        </row>
        <row r="677">
          <cell r="AS677" t="str">
            <v>4.3 Bienes fungibles - material de oficina</v>
          </cell>
        </row>
        <row r="678">
          <cell r="AS678" t="str">
            <v>4.4 Otros servicios (tel./fax, electricidad/calefacción,  mantenimiento/seguros)</v>
          </cell>
        </row>
        <row r="679">
          <cell r="AS679" t="str">
            <v>5.1 Publicaciones</v>
          </cell>
        </row>
        <row r="680">
          <cell r="AS680" t="str">
            <v>5.2 Estudios, investigación, asistencias técnicas</v>
          </cell>
        </row>
        <row r="681">
          <cell r="AS681" t="str">
            <v>5.3 Verificación de gastos/auditoría</v>
          </cell>
        </row>
        <row r="682">
          <cell r="AS682" t="str">
            <v>5.4 Costes de evaluación</v>
          </cell>
        </row>
        <row r="683">
          <cell r="AS683" t="str">
            <v>5.5 Traducción, interpretación</v>
          </cell>
        </row>
        <row r="684">
          <cell r="AS684" t="str">
            <v xml:space="preserve">5.7 Costes de conferencias /reuniones/ Talleres </v>
          </cell>
        </row>
        <row r="685">
          <cell r="AS685" t="str">
            <v>5.8 Actividades de visibilidad y seguimiento</v>
          </cell>
        </row>
        <row r="686">
          <cell r="AS686" t="str">
            <v>6.1 Material didáctico, materiales y suministro de actividades (No inventariable)</v>
          </cell>
        </row>
        <row r="687">
          <cell r="AS687" t="str">
            <v>6.2 Herramientas y Material ( Inventariable)</v>
          </cell>
        </row>
        <row r="688">
          <cell r="AS688" t="str">
            <v>6.3 Otros Servicios externos (Mano de Obra no relacionada con Inversión)</v>
          </cell>
        </row>
        <row r="689">
          <cell r="AS689" t="str">
            <v>6.4 Construcción de Infraestructura</v>
          </cell>
        </row>
        <row r="690">
          <cell r="AS690" t="str">
            <v>6.5 Reformas y adecuaciones</v>
          </cell>
        </row>
        <row r="691">
          <cell r="AS691" t="str">
            <v>6.6 Equipos Informáticos / Software</v>
          </cell>
        </row>
        <row r="692">
          <cell r="AS692" t="str">
            <v>6.7 Maquinaria y Equipos</v>
          </cell>
        </row>
        <row r="693">
          <cell r="AS693" t="str">
            <v xml:space="preserve">6.8 Muebles y Enseres </v>
          </cell>
        </row>
        <row r="694">
          <cell r="AS694" t="str">
            <v>6.9 Becas</v>
          </cell>
        </row>
        <row r="695">
          <cell r="AS695" t="str">
            <v>8. Costes indirectos</v>
          </cell>
        </row>
      </sheetData>
      <sheetData sheetId="2"/>
      <sheetData sheetId="3"/>
      <sheetData sheetId="4">
        <row r="10">
          <cell r="U10">
            <v>0</v>
          </cell>
        </row>
      </sheetData>
      <sheetData sheetId="5">
        <row r="8">
          <cell r="W8">
            <v>0</v>
          </cell>
        </row>
      </sheetData>
      <sheetData sheetId="6">
        <row r="8">
          <cell r="C8" t="e">
            <v>#DIV/0!</v>
          </cell>
        </row>
      </sheetData>
      <sheetData sheetId="7">
        <row r="11">
          <cell r="AM11">
            <v>0</v>
          </cell>
        </row>
      </sheetData>
      <sheetData sheetId="8"/>
      <sheetData sheetId="9">
        <row r="11">
          <cell r="AM11">
            <v>0</v>
          </cell>
        </row>
      </sheetData>
      <sheetData sheetId="10">
        <row r="5">
          <cell r="C5">
            <v>0</v>
          </cell>
        </row>
      </sheetData>
      <sheetData sheetId="11">
        <row r="11">
          <cell r="AM11">
            <v>0</v>
          </cell>
        </row>
      </sheetData>
      <sheetData sheetId="12">
        <row r="5">
          <cell r="C5">
            <v>0</v>
          </cell>
        </row>
      </sheetData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1,F2,F3,F4"/>
      <sheetName val="R1-PREVENCIÓN"/>
      <sheetName val="Desglose PV"/>
      <sheetName val="Desglose PV (2)"/>
      <sheetName val="R2-ATENCIÓN"/>
      <sheetName val="Desglose AT"/>
      <sheetName val="R3-IMPUNIDAD"/>
      <sheetName val="Desglose IMP"/>
      <sheetName val="RESUMEN "/>
    </sheetNames>
    <sheetDataSet>
      <sheetData sheetId="0">
        <row r="10">
          <cell r="H10">
            <v>28332.510000000002</v>
          </cell>
        </row>
        <row r="11">
          <cell r="S11">
            <v>28332.510000000002</v>
          </cell>
          <cell r="Y11">
            <v>41020.00999999998</v>
          </cell>
          <cell r="AC11">
            <v>108870.00999999986</v>
          </cell>
        </row>
        <row r="24">
          <cell r="S24">
            <v>20585.61</v>
          </cell>
          <cell r="Y24">
            <v>29773.11</v>
          </cell>
          <cell r="AC24">
            <v>71300.193333333329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comments" Target="../comments11.xml"/><Relationship Id="rId1" Type="http://schemas.openxmlformats.org/officeDocument/2006/relationships/vmlDrawing" Target="../drawings/vmlDrawing11.v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0066"/>
    <pageSetUpPr fitToPage="1"/>
  </sheetPr>
  <dimension ref="B1:V45"/>
  <sheetViews>
    <sheetView tabSelected="1" workbookViewId="0">
      <pane ySplit="3" topLeftCell="A4" activePane="bottomLeft" state="frozen"/>
      <selection activeCell="C1" sqref="C1"/>
      <selection pane="bottomLeft" activeCell="N28" sqref="N28"/>
    </sheetView>
  </sheetViews>
  <sheetFormatPr baseColWidth="10" defaultColWidth="11.44140625" defaultRowHeight="14.4" x14ac:dyDescent="0.3"/>
  <cols>
    <col min="1" max="1" width="1.5546875" style="370" customWidth="1"/>
    <col min="2" max="2" width="2.109375" style="370" customWidth="1"/>
    <col min="3" max="5" width="11.44140625" style="370"/>
    <col min="6" max="6" width="0.5546875" style="370" customWidth="1"/>
    <col min="7" max="7" width="13.5546875" style="370" customWidth="1"/>
    <col min="8" max="8" width="1" style="370" customWidth="1"/>
    <col min="9" max="9" width="14.109375" style="370" customWidth="1"/>
    <col min="10" max="10" width="1.88671875" style="370" customWidth="1"/>
    <col min="11" max="11" width="10.44140625" style="370" customWidth="1"/>
    <col min="12" max="13" width="10" style="370" customWidth="1"/>
    <col min="14" max="14" width="9.5546875" style="370" customWidth="1"/>
    <col min="15" max="15" width="1.6640625" style="370" customWidth="1"/>
    <col min="16" max="16" width="12.5546875" style="370" customWidth="1"/>
    <col min="17" max="17" width="12.33203125" style="370" customWidth="1"/>
    <col min="18" max="18" width="11.6640625" style="370" customWidth="1"/>
    <col min="19" max="19" width="15.44140625" style="370" customWidth="1"/>
    <col min="20" max="20" width="15.88671875" style="370" customWidth="1"/>
    <col min="21" max="21" width="1.88671875" style="370" customWidth="1"/>
    <col min="22" max="22" width="7.44140625" style="370" customWidth="1"/>
    <col min="23" max="16384" width="11.44140625" style="370"/>
  </cols>
  <sheetData>
    <row r="1" spans="2:21" ht="9.75" customHeight="1" thickBot="1" x14ac:dyDescent="0.3"/>
    <row r="2" spans="2:21" ht="9.75" customHeight="1" x14ac:dyDescent="0.25">
      <c r="B2" s="886"/>
      <c r="C2" s="887"/>
      <c r="D2" s="887"/>
      <c r="E2" s="887"/>
      <c r="F2" s="887"/>
      <c r="G2" s="887"/>
      <c r="H2" s="887"/>
      <c r="I2" s="887"/>
      <c r="J2" s="887"/>
      <c r="K2" s="887"/>
      <c r="L2" s="887"/>
      <c r="M2" s="887"/>
      <c r="N2" s="887"/>
      <c r="O2" s="887"/>
      <c r="P2" s="887"/>
      <c r="Q2" s="887"/>
      <c r="R2" s="887"/>
      <c r="S2" s="887"/>
      <c r="T2" s="887"/>
      <c r="U2" s="888"/>
    </row>
    <row r="3" spans="2:21" ht="54" customHeight="1" x14ac:dyDescent="0.3">
      <c r="B3" s="889"/>
      <c r="C3" s="898"/>
      <c r="D3" s="899"/>
      <c r="E3" s="899"/>
      <c r="F3" s="899"/>
      <c r="G3" s="997" t="s">
        <v>447</v>
      </c>
      <c r="H3" s="998"/>
      <c r="I3" s="998"/>
      <c r="J3" s="998"/>
      <c r="K3" s="998"/>
      <c r="L3" s="998"/>
      <c r="M3" s="998"/>
      <c r="N3" s="998"/>
      <c r="O3" s="998"/>
      <c r="P3" s="998"/>
      <c r="Q3" s="998"/>
      <c r="R3" s="998"/>
      <c r="S3" s="998"/>
      <c r="T3" s="998"/>
      <c r="U3" s="892"/>
    </row>
    <row r="4" spans="2:21" ht="15" x14ac:dyDescent="0.25">
      <c r="B4" s="889"/>
      <c r="U4" s="892"/>
    </row>
    <row r="5" spans="2:21" s="9" customFormat="1" ht="21.75" customHeight="1" x14ac:dyDescent="0.3">
      <c r="B5" s="890"/>
      <c r="C5" s="999" t="s">
        <v>842</v>
      </c>
      <c r="D5" s="999"/>
      <c r="E5" s="999"/>
      <c r="F5" s="999"/>
      <c r="G5" s="999"/>
      <c r="H5" s="999"/>
      <c r="I5" s="999"/>
      <c r="K5" s="994" t="s">
        <v>532</v>
      </c>
      <c r="L5" s="994"/>
      <c r="M5" s="994"/>
      <c r="N5" s="994"/>
      <c r="P5" s="1000" t="s">
        <v>400</v>
      </c>
      <c r="Q5" s="1000"/>
      <c r="R5" s="1000"/>
      <c r="S5" s="1000"/>
      <c r="T5" s="1000"/>
      <c r="U5" s="893"/>
    </row>
    <row r="6" spans="2:21" s="9" customFormat="1" ht="6" customHeight="1" x14ac:dyDescent="0.3">
      <c r="B6" s="890"/>
      <c r="C6" s="900"/>
      <c r="D6" s="900"/>
      <c r="E6" s="900"/>
      <c r="F6" s="900"/>
      <c r="G6" s="900"/>
      <c r="H6" s="900"/>
      <c r="I6" s="900"/>
      <c r="K6" s="994"/>
      <c r="L6" s="994"/>
      <c r="M6" s="994"/>
      <c r="N6" s="994"/>
      <c r="U6" s="893"/>
    </row>
    <row r="7" spans="2:21" s="9" customFormat="1" ht="18" customHeight="1" x14ac:dyDescent="0.3">
      <c r="B7" s="890"/>
      <c r="C7" s="1001" t="s">
        <v>401</v>
      </c>
      <c r="D7" s="1001"/>
      <c r="E7" s="1001"/>
      <c r="F7" s="1001"/>
      <c r="G7" s="1001"/>
      <c r="H7" s="1001"/>
      <c r="I7" s="1001"/>
      <c r="K7" s="994"/>
      <c r="L7" s="994"/>
      <c r="M7" s="994"/>
      <c r="N7" s="994"/>
      <c r="P7" s="1002" t="s">
        <v>436</v>
      </c>
      <c r="Q7" s="1003"/>
      <c r="R7" s="1004"/>
      <c r="S7" s="901">
        <v>9830000</v>
      </c>
      <c r="T7" s="902">
        <v>87347917.299999997</v>
      </c>
      <c r="U7" s="893"/>
    </row>
    <row r="8" spans="2:21" s="9" customFormat="1" ht="6" customHeight="1" x14ac:dyDescent="0.3">
      <c r="B8" s="890"/>
      <c r="C8" s="900"/>
      <c r="D8" s="900"/>
      <c r="E8" s="900"/>
      <c r="F8" s="900"/>
      <c r="G8" s="900"/>
      <c r="H8" s="900"/>
      <c r="I8" s="900"/>
      <c r="K8" s="994"/>
      <c r="L8" s="994"/>
      <c r="M8" s="994"/>
      <c r="N8" s="994"/>
      <c r="P8" s="743"/>
      <c r="Q8" s="743"/>
      <c r="R8" s="743"/>
      <c r="S8" s="903"/>
      <c r="T8" s="903"/>
      <c r="U8" s="893"/>
    </row>
    <row r="9" spans="2:21" s="9" customFormat="1" ht="30.75" customHeight="1" x14ac:dyDescent="0.3">
      <c r="B9" s="890"/>
      <c r="C9" s="991" t="s">
        <v>402</v>
      </c>
      <c r="D9" s="992"/>
      <c r="E9" s="992"/>
      <c r="F9" s="992"/>
      <c r="G9" s="992"/>
      <c r="H9" s="992"/>
      <c r="I9" s="993"/>
      <c r="K9" s="994"/>
      <c r="L9" s="994"/>
      <c r="M9" s="994"/>
      <c r="N9" s="994"/>
      <c r="P9" s="996" t="s">
        <v>439</v>
      </c>
      <c r="Q9" s="996"/>
      <c r="R9" s="996"/>
      <c r="S9" s="904">
        <v>2280000</v>
      </c>
      <c r="T9" s="905">
        <f>+S9*8.8858512</f>
        <v>20259740.735999998</v>
      </c>
      <c r="U9" s="893"/>
    </row>
    <row r="10" spans="2:21" s="9" customFormat="1" ht="4.5" customHeight="1" x14ac:dyDescent="0.25">
      <c r="B10" s="890"/>
      <c r="C10" s="900"/>
      <c r="D10" s="900"/>
      <c r="E10" s="900"/>
      <c r="F10" s="900"/>
      <c r="G10" s="900"/>
      <c r="H10" s="900"/>
      <c r="I10" s="900"/>
      <c r="P10" s="900"/>
      <c r="Q10" s="900"/>
      <c r="R10" s="900"/>
      <c r="S10" s="903"/>
      <c r="T10" s="903"/>
      <c r="U10" s="893"/>
    </row>
    <row r="11" spans="2:21" s="9" customFormat="1" ht="29.25" customHeight="1" x14ac:dyDescent="0.3">
      <c r="B11" s="890"/>
      <c r="C11" s="991" t="s">
        <v>403</v>
      </c>
      <c r="D11" s="992"/>
      <c r="E11" s="992"/>
      <c r="F11" s="992"/>
      <c r="G11" s="992"/>
      <c r="H11" s="992"/>
      <c r="I11" s="993"/>
      <c r="K11" s="994" t="s">
        <v>404</v>
      </c>
      <c r="L11" s="979"/>
      <c r="M11" s="979"/>
      <c r="N11" s="979"/>
      <c r="P11" s="995" t="s">
        <v>437</v>
      </c>
      <c r="Q11" s="995"/>
      <c r="R11" s="995"/>
      <c r="S11" s="901">
        <f>+S7-S9</f>
        <v>7550000</v>
      </c>
      <c r="T11" s="902">
        <f>+T7-T9</f>
        <v>67088176.563999996</v>
      </c>
      <c r="U11" s="893"/>
    </row>
    <row r="12" spans="2:21" s="9" customFormat="1" ht="4.5" customHeight="1" x14ac:dyDescent="0.3">
      <c r="B12" s="890"/>
      <c r="C12" s="906"/>
      <c r="D12" s="906"/>
      <c r="E12" s="906"/>
      <c r="F12" s="906"/>
      <c r="G12" s="906"/>
      <c r="H12" s="906"/>
      <c r="I12" s="906"/>
      <c r="K12" s="979"/>
      <c r="L12" s="979"/>
      <c r="M12" s="979"/>
      <c r="N12" s="979"/>
      <c r="S12" s="903"/>
      <c r="T12" s="903"/>
      <c r="U12" s="893"/>
    </row>
    <row r="13" spans="2:21" s="9" customFormat="1" ht="30" customHeight="1" x14ac:dyDescent="0.3">
      <c r="B13" s="890"/>
      <c r="C13" s="991" t="s">
        <v>405</v>
      </c>
      <c r="D13" s="992"/>
      <c r="E13" s="992"/>
      <c r="F13" s="992"/>
      <c r="G13" s="992"/>
      <c r="H13" s="992"/>
      <c r="I13" s="993"/>
      <c r="K13" s="979"/>
      <c r="L13" s="979"/>
      <c r="M13" s="979"/>
      <c r="N13" s="979"/>
      <c r="P13" s="996" t="s">
        <v>438</v>
      </c>
      <c r="Q13" s="996"/>
      <c r="R13" s="996"/>
      <c r="S13" s="904">
        <v>2000000</v>
      </c>
      <c r="T13" s="905">
        <v>17702701.399999999</v>
      </c>
      <c r="U13" s="893"/>
    </row>
    <row r="14" spans="2:21" s="9" customFormat="1" ht="5.25" customHeight="1" x14ac:dyDescent="0.3">
      <c r="B14" s="890"/>
      <c r="C14" s="906"/>
      <c r="D14" s="906"/>
      <c r="E14" s="906"/>
      <c r="F14" s="906"/>
      <c r="G14" s="906"/>
      <c r="H14" s="906"/>
      <c r="I14" s="906"/>
      <c r="K14" s="979"/>
      <c r="L14" s="979"/>
      <c r="M14" s="979"/>
      <c r="N14" s="979"/>
      <c r="S14" s="903"/>
      <c r="T14" s="903"/>
      <c r="U14" s="893"/>
    </row>
    <row r="15" spans="2:21" s="9" customFormat="1" ht="5.25" customHeight="1" x14ac:dyDescent="0.3">
      <c r="B15" s="890"/>
      <c r="C15" s="906"/>
      <c r="D15" s="906"/>
      <c r="E15" s="906"/>
      <c r="F15" s="906"/>
      <c r="G15" s="906"/>
      <c r="H15" s="906"/>
      <c r="I15" s="906"/>
      <c r="K15" s="979"/>
      <c r="L15" s="979"/>
      <c r="M15" s="979"/>
      <c r="N15" s="979"/>
      <c r="S15" s="903"/>
      <c r="T15" s="903"/>
      <c r="U15" s="893"/>
    </row>
    <row r="16" spans="2:21" s="9" customFormat="1" ht="30.75" customHeight="1" x14ac:dyDescent="0.3">
      <c r="B16" s="890"/>
      <c r="C16" s="991" t="s">
        <v>406</v>
      </c>
      <c r="D16" s="992"/>
      <c r="E16" s="992"/>
      <c r="F16" s="992"/>
      <c r="G16" s="992"/>
      <c r="H16" s="992"/>
      <c r="I16" s="993"/>
      <c r="K16" s="979"/>
      <c r="L16" s="979"/>
      <c r="M16" s="979"/>
      <c r="N16" s="979"/>
      <c r="P16" s="995" t="s">
        <v>448</v>
      </c>
      <c r="Q16" s="995"/>
      <c r="R16" s="995"/>
      <c r="S16" s="904">
        <f>+S11-S13</f>
        <v>5550000</v>
      </c>
      <c r="T16" s="905">
        <v>51971620.723333299</v>
      </c>
      <c r="U16" s="893"/>
    </row>
    <row r="17" spans="2:22" s="9" customFormat="1" ht="6.75" customHeight="1" x14ac:dyDescent="0.25">
      <c r="B17" s="890"/>
      <c r="C17" s="900"/>
      <c r="D17" s="900"/>
      <c r="E17" s="900"/>
      <c r="F17" s="900"/>
      <c r="G17" s="900"/>
      <c r="H17" s="900"/>
      <c r="I17" s="900"/>
      <c r="K17" s="900"/>
      <c r="L17" s="900"/>
      <c r="M17" s="900"/>
      <c r="N17" s="900"/>
      <c r="U17" s="893"/>
    </row>
    <row r="18" spans="2:22" s="9" customFormat="1" ht="22.5" customHeight="1" x14ac:dyDescent="0.25">
      <c r="B18" s="890"/>
      <c r="C18" s="900"/>
      <c r="D18" s="900"/>
      <c r="E18" s="900"/>
      <c r="F18" s="900"/>
      <c r="G18" s="900"/>
      <c r="H18" s="900"/>
      <c r="I18" s="900"/>
      <c r="K18" s="900"/>
      <c r="L18" s="900"/>
      <c r="M18" s="900"/>
      <c r="N18" s="900"/>
      <c r="P18" s="956" t="s">
        <v>352</v>
      </c>
      <c r="Q18" s="986"/>
      <c r="R18" s="957"/>
      <c r="S18" s="761" t="s">
        <v>407</v>
      </c>
      <c r="T18" s="761" t="s">
        <v>408</v>
      </c>
      <c r="U18" s="893"/>
    </row>
    <row r="19" spans="2:22" s="9" customFormat="1" ht="5.25" customHeight="1" x14ac:dyDescent="0.25">
      <c r="B19" s="890"/>
      <c r="C19" s="906"/>
      <c r="D19" s="906"/>
      <c r="E19" s="906"/>
      <c r="F19" s="906"/>
      <c r="G19" s="906"/>
      <c r="H19" s="906"/>
      <c r="I19" s="906"/>
      <c r="K19" s="743"/>
      <c r="L19" s="743"/>
      <c r="M19" s="743"/>
      <c r="N19" s="743"/>
      <c r="P19" s="10"/>
      <c r="Q19" s="10"/>
      <c r="R19" s="10"/>
      <c r="S19" s="10"/>
      <c r="T19" s="10"/>
      <c r="U19" s="893"/>
    </row>
    <row r="20" spans="2:22" s="9" customFormat="1" ht="19.5" customHeight="1" x14ac:dyDescent="0.3">
      <c r="B20" s="890"/>
      <c r="C20" s="900"/>
      <c r="D20" s="900"/>
      <c r="E20" s="900"/>
      <c r="F20" s="900"/>
      <c r="G20" s="900"/>
      <c r="H20" s="900"/>
      <c r="I20" s="900"/>
      <c r="K20" s="956" t="s">
        <v>446</v>
      </c>
      <c r="L20" s="986"/>
      <c r="M20" s="986"/>
      <c r="N20" s="957"/>
      <c r="P20" s="977" t="s">
        <v>409</v>
      </c>
      <c r="Q20" s="977"/>
      <c r="R20" s="977"/>
      <c r="S20" s="907">
        <f>+'RESUMEN en Q'!R10</f>
        <v>761727.31877475942</v>
      </c>
      <c r="T20" s="908">
        <f>+'RESUMEN en Q'!K10</f>
        <v>7132420.2999999998</v>
      </c>
      <c r="U20" s="893"/>
      <c r="V20" s="897"/>
    </row>
    <row r="21" spans="2:22" s="9" customFormat="1" ht="6" customHeight="1" x14ac:dyDescent="0.25">
      <c r="B21" s="890"/>
      <c r="C21" s="900"/>
      <c r="D21" s="900"/>
      <c r="E21" s="900"/>
      <c r="F21" s="900"/>
      <c r="G21" s="900"/>
      <c r="H21" s="900"/>
      <c r="I21" s="900"/>
      <c r="K21" s="140"/>
      <c r="L21" s="140"/>
      <c r="M21" s="140"/>
      <c r="N21" s="140"/>
      <c r="P21" s="900"/>
      <c r="Q21" s="900"/>
      <c r="R21" s="900"/>
      <c r="S21" s="474"/>
      <c r="U21" s="893"/>
    </row>
    <row r="22" spans="2:22" s="9" customFormat="1" ht="18" customHeight="1" x14ac:dyDescent="0.3">
      <c r="B22" s="890"/>
      <c r="C22" s="978" t="s">
        <v>578</v>
      </c>
      <c r="D22" s="979"/>
      <c r="E22" s="979"/>
      <c r="G22" s="909">
        <v>43168</v>
      </c>
      <c r="H22" s="910"/>
      <c r="K22" s="987" t="s">
        <v>440</v>
      </c>
      <c r="L22" s="988"/>
      <c r="M22" s="989"/>
      <c r="N22" s="920"/>
      <c r="P22" s="990" t="s">
        <v>410</v>
      </c>
      <c r="Q22" s="990"/>
      <c r="R22" s="990"/>
      <c r="S22" s="907">
        <f>+'RESUMEN en Q'!R11</f>
        <v>2474390.3539627157</v>
      </c>
      <c r="T22" s="908">
        <f>+'RESUMEN en Q'!K11</f>
        <v>23103258.530000001</v>
      </c>
      <c r="U22" s="893"/>
    </row>
    <row r="23" spans="2:22" s="9" customFormat="1" ht="4.5" customHeight="1" x14ac:dyDescent="0.25">
      <c r="B23" s="890"/>
      <c r="C23" s="900"/>
      <c r="D23" s="900"/>
      <c r="E23" s="900"/>
      <c r="F23" s="900"/>
      <c r="G23" s="911"/>
      <c r="H23" s="900"/>
      <c r="I23" s="900"/>
      <c r="K23" s="140"/>
      <c r="L23" s="140"/>
      <c r="M23" s="140"/>
      <c r="N23" s="921"/>
      <c r="P23" s="900"/>
      <c r="Q23" s="900"/>
      <c r="R23" s="900"/>
      <c r="S23" s="474"/>
      <c r="U23" s="893"/>
    </row>
    <row r="24" spans="2:22" s="9" customFormat="1" ht="19.5" customHeight="1" x14ac:dyDescent="0.3">
      <c r="B24" s="890"/>
      <c r="C24" s="978" t="s">
        <v>580</v>
      </c>
      <c r="D24" s="979"/>
      <c r="E24" s="979"/>
      <c r="G24" s="912" t="s">
        <v>581</v>
      </c>
      <c r="H24" s="913"/>
      <c r="K24" s="980" t="s">
        <v>441</v>
      </c>
      <c r="L24" s="981"/>
      <c r="M24" s="982"/>
      <c r="N24" s="920"/>
      <c r="P24" s="977" t="s">
        <v>412</v>
      </c>
      <c r="Q24" s="977"/>
      <c r="R24" s="977"/>
      <c r="S24" s="907">
        <f>+'RESUMEN en Q'!R12</f>
        <v>1581038.3530182841</v>
      </c>
      <c r="T24" s="908">
        <f>+'RESUMEN en Q'!K12</f>
        <v>14774653.82</v>
      </c>
      <c r="U24" s="893"/>
    </row>
    <row r="25" spans="2:22" s="9" customFormat="1" ht="4.5" customHeight="1" x14ac:dyDescent="0.25">
      <c r="B25" s="890"/>
      <c r="C25" s="900"/>
      <c r="D25" s="900"/>
      <c r="E25" s="900"/>
      <c r="F25" s="900"/>
      <c r="G25" s="911"/>
      <c r="H25" s="900"/>
      <c r="I25" s="900"/>
      <c r="K25" s="140"/>
      <c r="L25" s="140"/>
      <c r="M25" s="140"/>
      <c r="N25" s="921"/>
      <c r="P25" s="900"/>
      <c r="Q25" s="900"/>
      <c r="R25" s="900"/>
      <c r="S25" s="474"/>
      <c r="U25" s="893"/>
    </row>
    <row r="26" spans="2:22" s="9" customFormat="1" ht="16.5" customHeight="1" x14ac:dyDescent="0.3">
      <c r="B26" s="890"/>
      <c r="C26" s="978" t="s">
        <v>579</v>
      </c>
      <c r="D26" s="979"/>
      <c r="E26" s="979"/>
      <c r="G26" s="912" t="s">
        <v>411</v>
      </c>
      <c r="H26" s="910"/>
      <c r="K26" s="983" t="s">
        <v>442</v>
      </c>
      <c r="L26" s="984"/>
      <c r="M26" s="985"/>
      <c r="N26" s="920"/>
      <c r="P26" s="977" t="s">
        <v>413</v>
      </c>
      <c r="Q26" s="977"/>
      <c r="R26" s="977"/>
      <c r="S26" s="907">
        <f>+'RESUMEN en Q'!R13</f>
        <v>437210.80291593581</v>
      </c>
      <c r="T26" s="908">
        <f>+'RESUMEN en Q'!K13</f>
        <v>4094155.7199999997</v>
      </c>
      <c r="U26" s="893"/>
    </row>
    <row r="27" spans="2:22" s="9" customFormat="1" ht="4.5" customHeight="1" x14ac:dyDescent="0.25">
      <c r="B27" s="890"/>
      <c r="C27" s="900"/>
      <c r="D27" s="900"/>
      <c r="E27" s="900"/>
      <c r="F27" s="900"/>
      <c r="G27" s="900"/>
      <c r="H27" s="900"/>
      <c r="I27" s="900"/>
      <c r="N27" s="921"/>
      <c r="P27" s="900"/>
      <c r="Q27" s="900"/>
      <c r="R27" s="900"/>
      <c r="S27" s="474"/>
      <c r="U27" s="893"/>
    </row>
    <row r="28" spans="2:22" s="9" customFormat="1" ht="18" customHeight="1" x14ac:dyDescent="0.3">
      <c r="B28" s="890"/>
      <c r="C28" s="964" t="s">
        <v>414</v>
      </c>
      <c r="D28" s="964"/>
      <c r="E28" s="964"/>
      <c r="F28" s="964"/>
      <c r="G28" s="964"/>
      <c r="I28" s="912" t="s">
        <v>415</v>
      </c>
      <c r="K28" s="922" t="s">
        <v>443</v>
      </c>
      <c r="L28" s="922"/>
      <c r="M28" s="922"/>
      <c r="N28" s="920"/>
      <c r="P28" s="977" t="s">
        <v>416</v>
      </c>
      <c r="Q28" s="977"/>
      <c r="R28" s="977"/>
      <c r="S28" s="907">
        <f>+'RESUMEN en Q'!R14</f>
        <v>312657.30898552167</v>
      </c>
      <c r="T28" s="908">
        <f>+'RESUMEN en Q'!K14</f>
        <v>2921640.6</v>
      </c>
      <c r="U28" s="893"/>
    </row>
    <row r="29" spans="2:22" s="9" customFormat="1" ht="3.75" customHeight="1" x14ac:dyDescent="0.25">
      <c r="B29" s="890"/>
      <c r="C29" s="900"/>
      <c r="D29" s="900"/>
      <c r="E29" s="900"/>
      <c r="F29" s="900"/>
      <c r="G29" s="900"/>
      <c r="H29" s="900"/>
      <c r="I29" s="911"/>
      <c r="N29" s="921"/>
      <c r="P29" s="900"/>
      <c r="Q29" s="900"/>
      <c r="R29" s="900"/>
      <c r="S29" s="474"/>
      <c r="U29" s="893"/>
    </row>
    <row r="30" spans="2:22" s="9" customFormat="1" ht="18.75" customHeight="1" x14ac:dyDescent="0.3">
      <c r="B30" s="890"/>
      <c r="C30" s="978" t="s">
        <v>417</v>
      </c>
      <c r="D30" s="978"/>
      <c r="E30" s="978"/>
      <c r="F30" s="978"/>
      <c r="G30" s="978"/>
      <c r="I30" s="909">
        <v>44156</v>
      </c>
      <c r="K30" s="976" t="s">
        <v>444</v>
      </c>
      <c r="L30" s="976"/>
      <c r="M30" s="976"/>
      <c r="N30" s="920"/>
      <c r="P30" s="977" t="s">
        <v>418</v>
      </c>
      <c r="Q30" s="977"/>
      <c r="R30" s="977"/>
      <c r="S30" s="907">
        <f>+'RESUMEN en Q'!R15</f>
        <v>127932.86752598931</v>
      </c>
      <c r="T30" s="908">
        <f>+'RESUMEN en Q'!K15</f>
        <v>1198000</v>
      </c>
      <c r="U30" s="893"/>
    </row>
    <row r="31" spans="2:22" s="9" customFormat="1" ht="3.75" customHeight="1" x14ac:dyDescent="0.25">
      <c r="B31" s="890"/>
      <c r="C31" s="900"/>
      <c r="D31" s="900"/>
      <c r="E31" s="900"/>
      <c r="F31" s="900"/>
      <c r="G31" s="900"/>
      <c r="H31" s="900"/>
      <c r="I31" s="914"/>
      <c r="N31" s="921"/>
      <c r="P31" s="900"/>
      <c r="Q31" s="900"/>
      <c r="R31" s="900"/>
      <c r="S31" s="474"/>
      <c r="U31" s="893"/>
    </row>
    <row r="32" spans="2:22" s="9" customFormat="1" ht="18" customHeight="1" x14ac:dyDescent="0.3">
      <c r="B32" s="890"/>
      <c r="C32" s="973" t="s">
        <v>419</v>
      </c>
      <c r="D32" s="974"/>
      <c r="E32" s="974"/>
      <c r="F32" s="974"/>
      <c r="G32" s="975"/>
      <c r="I32" s="909">
        <v>44886</v>
      </c>
      <c r="K32" s="976" t="s">
        <v>445</v>
      </c>
      <c r="L32" s="976"/>
      <c r="M32" s="976"/>
      <c r="N32" s="920"/>
      <c r="P32" s="977" t="s">
        <v>420</v>
      </c>
      <c r="Q32" s="977"/>
      <c r="R32" s="977"/>
      <c r="S32" s="907">
        <f>+'RESUMEN en Q'!R16</f>
        <v>74325.110411978618</v>
      </c>
      <c r="T32" s="908">
        <f>+'RESUMEN en Q'!K16</f>
        <v>696000</v>
      </c>
      <c r="U32" s="893"/>
    </row>
    <row r="33" spans="2:21" ht="5.25" customHeight="1" x14ac:dyDescent="0.25">
      <c r="B33" s="889"/>
      <c r="N33" s="800"/>
      <c r="P33" s="915"/>
      <c r="Q33" s="915"/>
      <c r="R33" s="915"/>
      <c r="S33" s="716"/>
      <c r="U33" s="892"/>
    </row>
    <row r="34" spans="2:21" s="9" customFormat="1" ht="18" customHeight="1" x14ac:dyDescent="0.3">
      <c r="B34" s="890"/>
      <c r="C34" s="963"/>
      <c r="D34" s="963"/>
      <c r="E34" s="963"/>
      <c r="F34" s="963"/>
      <c r="G34" s="963"/>
      <c r="H34" s="140"/>
      <c r="I34" s="916"/>
      <c r="K34" s="961" t="s">
        <v>847</v>
      </c>
      <c r="L34" s="962"/>
      <c r="M34" s="962"/>
      <c r="N34" s="917">
        <f>+T34/S34</f>
        <v>9.3460725077468965</v>
      </c>
      <c r="P34" s="964" t="s">
        <v>422</v>
      </c>
      <c r="Q34" s="964"/>
      <c r="R34" s="964"/>
      <c r="S34" s="918">
        <f>SUM(S20:S32)</f>
        <v>5769282.1155951843</v>
      </c>
      <c r="T34" s="919">
        <f>SUM(T20:T32)</f>
        <v>53920128.970000006</v>
      </c>
      <c r="U34" s="893"/>
    </row>
    <row r="35" spans="2:21" ht="6.75" customHeight="1" x14ac:dyDescent="0.25">
      <c r="B35" s="889"/>
      <c r="U35" s="892"/>
    </row>
    <row r="36" spans="2:21" ht="5.25" customHeight="1" x14ac:dyDescent="0.25">
      <c r="B36" s="889"/>
      <c r="U36" s="892"/>
    </row>
    <row r="37" spans="2:21" ht="25.5" customHeight="1" x14ac:dyDescent="0.25">
      <c r="B37" s="889"/>
      <c r="C37" s="965" t="s">
        <v>421</v>
      </c>
      <c r="D37" s="966"/>
      <c r="E37" s="966"/>
      <c r="F37" s="966"/>
      <c r="G37" s="966"/>
      <c r="H37" s="966"/>
      <c r="I37" s="966"/>
      <c r="J37" s="966"/>
      <c r="K37" s="966"/>
      <c r="L37" s="966"/>
      <c r="M37" s="966"/>
      <c r="N37" s="966"/>
      <c r="O37" s="966"/>
      <c r="P37" s="966"/>
      <c r="Q37" s="966"/>
      <c r="R37" s="966"/>
      <c r="S37" s="966"/>
      <c r="T37" s="967"/>
      <c r="U37" s="892"/>
    </row>
    <row r="38" spans="2:21" ht="6" customHeight="1" x14ac:dyDescent="0.25">
      <c r="B38" s="889"/>
      <c r="U38" s="892"/>
    </row>
    <row r="39" spans="2:21" ht="33" customHeight="1" x14ac:dyDescent="0.3">
      <c r="B39" s="889"/>
      <c r="C39" s="968" t="s">
        <v>424</v>
      </c>
      <c r="D39" s="969"/>
      <c r="E39" s="970" t="s">
        <v>423</v>
      </c>
      <c r="F39" s="971"/>
      <c r="G39" s="971"/>
      <c r="H39" s="971"/>
      <c r="I39" s="971"/>
      <c r="J39" s="971"/>
      <c r="K39" s="971"/>
      <c r="L39" s="971"/>
      <c r="M39" s="971"/>
      <c r="N39" s="971"/>
      <c r="O39" s="971"/>
      <c r="P39" s="971"/>
      <c r="Q39" s="971"/>
      <c r="R39" s="971"/>
      <c r="S39" s="971"/>
      <c r="T39" s="972"/>
      <c r="U39" s="892"/>
    </row>
    <row r="40" spans="2:21" ht="3.75" customHeight="1" x14ac:dyDescent="0.25">
      <c r="B40" s="889"/>
      <c r="U40" s="892"/>
    </row>
    <row r="41" spans="2:21" ht="31.5" customHeight="1" x14ac:dyDescent="0.3">
      <c r="B41" s="889"/>
      <c r="C41" s="956" t="s">
        <v>425</v>
      </c>
      <c r="D41" s="957"/>
      <c r="E41" s="958" t="s">
        <v>427</v>
      </c>
      <c r="F41" s="959"/>
      <c r="G41" s="959"/>
      <c r="H41" s="959"/>
      <c r="I41" s="959"/>
      <c r="J41" s="959"/>
      <c r="K41" s="959"/>
      <c r="L41" s="959"/>
      <c r="M41" s="959"/>
      <c r="N41" s="959"/>
      <c r="O41" s="959"/>
      <c r="P41" s="959"/>
      <c r="Q41" s="959"/>
      <c r="R41" s="959"/>
      <c r="S41" s="959"/>
      <c r="T41" s="960"/>
      <c r="U41" s="892"/>
    </row>
    <row r="42" spans="2:21" ht="3" customHeight="1" x14ac:dyDescent="0.25">
      <c r="B42" s="889"/>
      <c r="U42" s="892"/>
    </row>
    <row r="43" spans="2:21" ht="26.25" customHeight="1" x14ac:dyDescent="0.3">
      <c r="B43" s="889"/>
      <c r="C43" s="956" t="s">
        <v>426</v>
      </c>
      <c r="D43" s="957"/>
      <c r="E43" s="958" t="s">
        <v>428</v>
      </c>
      <c r="F43" s="959"/>
      <c r="G43" s="959"/>
      <c r="H43" s="959"/>
      <c r="I43" s="959"/>
      <c r="J43" s="959"/>
      <c r="K43" s="959"/>
      <c r="L43" s="959"/>
      <c r="M43" s="959"/>
      <c r="N43" s="959"/>
      <c r="O43" s="959"/>
      <c r="P43" s="959"/>
      <c r="Q43" s="959"/>
      <c r="R43" s="959"/>
      <c r="S43" s="959"/>
      <c r="T43" s="960"/>
      <c r="U43" s="892"/>
    </row>
    <row r="44" spans="2:21" ht="26.25" customHeight="1" x14ac:dyDescent="0.3">
      <c r="B44" s="889"/>
      <c r="C44" s="895" t="s">
        <v>449</v>
      </c>
      <c r="U44" s="892"/>
    </row>
    <row r="45" spans="2:21" ht="9" customHeight="1" thickBot="1" x14ac:dyDescent="0.3">
      <c r="B45" s="891"/>
      <c r="C45" s="896"/>
      <c r="D45" s="896"/>
      <c r="E45" s="896"/>
      <c r="F45" s="896"/>
      <c r="G45" s="896"/>
      <c r="H45" s="896"/>
      <c r="I45" s="896"/>
      <c r="J45" s="896"/>
      <c r="K45" s="896"/>
      <c r="L45" s="896"/>
      <c r="M45" s="896"/>
      <c r="N45" s="896"/>
      <c r="O45" s="896"/>
      <c r="P45" s="896"/>
      <c r="Q45" s="896"/>
      <c r="R45" s="896"/>
      <c r="S45" s="896"/>
      <c r="T45" s="896"/>
      <c r="U45" s="894"/>
    </row>
  </sheetData>
  <mergeCells count="45">
    <mergeCell ref="G3:T3"/>
    <mergeCell ref="C5:I5"/>
    <mergeCell ref="K5:N9"/>
    <mergeCell ref="P5:T5"/>
    <mergeCell ref="C7:I7"/>
    <mergeCell ref="P7:R7"/>
    <mergeCell ref="C9:I9"/>
    <mergeCell ref="P9:R9"/>
    <mergeCell ref="C11:I11"/>
    <mergeCell ref="K11:N16"/>
    <mergeCell ref="P11:R11"/>
    <mergeCell ref="C13:I13"/>
    <mergeCell ref="P13:R13"/>
    <mergeCell ref="C16:I16"/>
    <mergeCell ref="P16:R16"/>
    <mergeCell ref="P18:R18"/>
    <mergeCell ref="K20:N20"/>
    <mergeCell ref="P20:R20"/>
    <mergeCell ref="C22:E22"/>
    <mergeCell ref="K22:M22"/>
    <mergeCell ref="P22:R22"/>
    <mergeCell ref="C32:G32"/>
    <mergeCell ref="K32:M32"/>
    <mergeCell ref="P32:R32"/>
    <mergeCell ref="C24:E24"/>
    <mergeCell ref="K24:M24"/>
    <mergeCell ref="P24:R24"/>
    <mergeCell ref="C26:E26"/>
    <mergeCell ref="K26:M26"/>
    <mergeCell ref="P26:R26"/>
    <mergeCell ref="C28:G28"/>
    <mergeCell ref="P28:R28"/>
    <mergeCell ref="C30:G30"/>
    <mergeCell ref="K30:M30"/>
    <mergeCell ref="P30:R30"/>
    <mergeCell ref="C43:D43"/>
    <mergeCell ref="E43:T43"/>
    <mergeCell ref="K34:M34"/>
    <mergeCell ref="C34:G34"/>
    <mergeCell ref="P34:R34"/>
    <mergeCell ref="C37:T37"/>
    <mergeCell ref="C39:D39"/>
    <mergeCell ref="E39:T39"/>
    <mergeCell ref="C41:D41"/>
    <mergeCell ref="E41:T41"/>
  </mergeCells>
  <printOptions horizontalCentered="1" verticalCentered="1"/>
  <pageMargins left="0.51181102362204722" right="0.31496062992125984" top="0.74803149606299213" bottom="0.74803149606299213" header="0.31496062992125984" footer="0.31496062992125984"/>
  <pageSetup paperSize="345" scale="74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AM107"/>
  <sheetViews>
    <sheetView topLeftCell="A4" zoomScale="60" zoomScaleNormal="60" workbookViewId="0">
      <pane xSplit="7" ySplit="4" topLeftCell="H50" activePane="bottomRight" state="frozen"/>
      <selection activeCell="A5" sqref="A5"/>
      <selection pane="topRight" activeCell="H5" sqref="H5"/>
      <selection pane="bottomLeft" activeCell="A8" sqref="A8"/>
      <selection pane="bottomRight" activeCell="C56" sqref="C56:C61"/>
    </sheetView>
  </sheetViews>
  <sheetFormatPr baseColWidth="10" defaultRowHeight="14.4" x14ac:dyDescent="0.3"/>
  <cols>
    <col min="1" max="1" width="27.44140625" customWidth="1"/>
    <col min="2" max="2" width="6" style="30" customWidth="1"/>
    <col min="3" max="3" width="26.6640625" style="109" customWidth="1"/>
    <col min="4" max="4" width="35.33203125" style="109" bestFit="1" customWidth="1"/>
    <col min="5" max="5" width="26.6640625" bestFit="1" customWidth="1"/>
    <col min="6" max="6" width="21.5546875" customWidth="1"/>
    <col min="7" max="7" width="24.6640625" bestFit="1" customWidth="1"/>
    <col min="8" max="9" width="20.6640625" bestFit="1" customWidth="1"/>
    <col min="10" max="10" width="22.44140625" bestFit="1" customWidth="1"/>
    <col min="11" max="11" width="22.109375" bestFit="1" customWidth="1"/>
    <col min="12" max="12" width="21.88671875" bestFit="1" customWidth="1"/>
    <col min="13" max="13" width="22.44140625" bestFit="1" customWidth="1"/>
    <col min="14" max="14" width="21.5546875" bestFit="1" customWidth="1"/>
    <col min="15" max="15" width="22.109375" bestFit="1" customWidth="1"/>
    <col min="16" max="16" width="21.88671875" bestFit="1" customWidth="1"/>
    <col min="17" max="17" width="22.44140625" bestFit="1" customWidth="1"/>
    <col min="18" max="18" width="21.88671875" bestFit="1" customWidth="1"/>
    <col min="19" max="19" width="27.5546875" bestFit="1" customWidth="1"/>
    <col min="20" max="20" width="21.33203125" bestFit="1" customWidth="1"/>
    <col min="21" max="21" width="21.5546875" bestFit="1" customWidth="1"/>
    <col min="22" max="22" width="22.109375" bestFit="1" customWidth="1"/>
    <col min="23" max="23" width="21.88671875" bestFit="1" customWidth="1"/>
    <col min="24" max="25" width="22.44140625" bestFit="1" customWidth="1"/>
    <col min="26" max="27" width="21.88671875" bestFit="1" customWidth="1"/>
    <col min="28" max="28" width="22.44140625" bestFit="1" customWidth="1"/>
    <col min="29" max="30" width="21.88671875" bestFit="1" customWidth="1"/>
    <col min="31" max="31" width="28.109375" bestFit="1" customWidth="1"/>
    <col min="32" max="32" width="29.5546875" style="31" bestFit="1" customWidth="1"/>
    <col min="34" max="34" width="18.33203125" customWidth="1"/>
    <col min="35" max="35" width="13.109375" style="259" bestFit="1" customWidth="1"/>
    <col min="36" max="36" width="11.5546875" style="259" bestFit="1" customWidth="1"/>
    <col min="37" max="37" width="13.88671875" style="259" bestFit="1" customWidth="1"/>
    <col min="39" max="39" width="13.88671875" bestFit="1" customWidth="1"/>
  </cols>
  <sheetData>
    <row r="1" spans="1:39" s="4" customFormat="1" ht="21.75" hidden="1" customHeight="1" x14ac:dyDescent="0.25">
      <c r="A1" s="48" t="s">
        <v>46</v>
      </c>
      <c r="B1" s="34"/>
      <c r="C1" s="101"/>
      <c r="D1" s="101"/>
      <c r="E1" s="33"/>
      <c r="F1" s="32"/>
      <c r="G1" s="32"/>
      <c r="H1" s="11"/>
      <c r="I1" s="12"/>
      <c r="J1" s="13"/>
      <c r="K1" s="9"/>
      <c r="L1" s="9"/>
      <c r="M1" s="9"/>
      <c r="N1" s="9"/>
      <c r="O1" s="9"/>
      <c r="P1" s="9"/>
      <c r="Q1" s="9"/>
      <c r="R1" s="9"/>
      <c r="S1" s="55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55"/>
      <c r="AF1" s="10"/>
      <c r="AG1" s="9"/>
      <c r="AH1" s="10"/>
      <c r="AI1" s="84"/>
      <c r="AJ1" s="84"/>
      <c r="AK1" s="84"/>
    </row>
    <row r="2" spans="1:39" s="4" customFormat="1" ht="15.75" hidden="1" customHeight="1" x14ac:dyDescent="0.25">
      <c r="A2" s="48" t="s">
        <v>47</v>
      </c>
      <c r="B2" s="34"/>
      <c r="C2" s="101"/>
      <c r="D2" s="101"/>
      <c r="E2" s="33"/>
      <c r="F2" s="32"/>
      <c r="G2" s="32"/>
      <c r="H2" s="14"/>
      <c r="I2" s="15"/>
      <c r="J2" s="16"/>
      <c r="K2" s="9"/>
      <c r="L2" s="9"/>
      <c r="M2" s="9"/>
      <c r="N2" s="9"/>
      <c r="O2" s="9"/>
      <c r="P2" s="9"/>
      <c r="Q2" s="9"/>
      <c r="R2" s="9"/>
      <c r="S2" s="55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55"/>
      <c r="AF2" s="209"/>
      <c r="AG2" s="9"/>
      <c r="AH2" s="10"/>
      <c r="AI2" s="84"/>
      <c r="AJ2" s="84"/>
      <c r="AK2" s="84"/>
    </row>
    <row r="3" spans="1:39" s="4" customFormat="1" ht="10.5" hidden="1" customHeight="1" x14ac:dyDescent="0.25">
      <c r="A3" s="48"/>
      <c r="B3" s="34"/>
      <c r="C3" s="101"/>
      <c r="D3" s="101"/>
      <c r="E3" s="33"/>
      <c r="F3" s="32"/>
      <c r="G3" s="32"/>
      <c r="H3" s="14"/>
      <c r="I3" s="15"/>
      <c r="J3" s="16"/>
      <c r="K3" s="9"/>
      <c r="L3" s="9"/>
      <c r="M3" s="9"/>
      <c r="N3" s="9"/>
      <c r="O3" s="9"/>
      <c r="P3" s="9"/>
      <c r="Q3" s="9"/>
      <c r="R3" s="9"/>
      <c r="S3" s="55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55"/>
      <c r="AF3" s="209"/>
      <c r="AG3" s="9"/>
      <c r="AH3" s="10"/>
      <c r="AI3" s="84"/>
      <c r="AJ3" s="84"/>
      <c r="AK3" s="84"/>
    </row>
    <row r="4" spans="1:39" s="4" customFormat="1" ht="23.25" x14ac:dyDescent="0.25">
      <c r="A4" s="48"/>
      <c r="B4" s="34"/>
      <c r="C4" s="101"/>
      <c r="D4" s="101"/>
      <c r="E4" s="33"/>
      <c r="F4" s="32"/>
      <c r="G4" s="289">
        <v>6747200</v>
      </c>
      <c r="H4" s="14"/>
      <c r="I4" s="15"/>
      <c r="J4" s="598">
        <f>+G13+G14+G15+G16+G17+G25+G26+G27+G28+G29++G30+G34+G43+G44+G45+G52+G68+G53+G73+G87+G88+G89+G96</f>
        <v>2502000</v>
      </c>
      <c r="K4" s="9"/>
      <c r="L4" s="9"/>
      <c r="M4" s="9"/>
      <c r="N4" s="9"/>
      <c r="O4" s="9"/>
      <c r="P4" s="9"/>
      <c r="Q4" s="9"/>
      <c r="R4" s="9"/>
      <c r="S4" s="55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55"/>
      <c r="AF4" s="10"/>
      <c r="AG4" s="9"/>
      <c r="AH4" s="10"/>
      <c r="AI4" s="84"/>
      <c r="AJ4" s="84"/>
      <c r="AK4" s="84"/>
    </row>
    <row r="5" spans="1:39" ht="21" x14ac:dyDescent="0.4">
      <c r="A5" s="1146" t="s">
        <v>48</v>
      </c>
      <c r="B5" s="1147"/>
      <c r="C5" s="1147"/>
      <c r="D5" s="1148"/>
      <c r="E5" s="1106" t="s">
        <v>43</v>
      </c>
      <c r="F5" s="1106" t="s">
        <v>44</v>
      </c>
      <c r="G5" s="1188" t="s">
        <v>85</v>
      </c>
      <c r="H5" s="1222">
        <v>2021</v>
      </c>
      <c r="I5" s="1222"/>
      <c r="J5" s="1222"/>
      <c r="K5" s="1222"/>
      <c r="L5" s="1222"/>
      <c r="M5" s="1222"/>
      <c r="N5" s="1222"/>
      <c r="O5" s="1222"/>
      <c r="P5" s="1222"/>
      <c r="Q5" s="1222"/>
      <c r="R5" s="1222"/>
      <c r="S5" s="1101" t="s">
        <v>41</v>
      </c>
      <c r="T5" s="1173">
        <v>2022</v>
      </c>
      <c r="U5" s="1111"/>
      <c r="V5" s="1111"/>
      <c r="W5" s="1111"/>
      <c r="X5" s="1111"/>
      <c r="Y5" s="1111"/>
      <c r="Z5" s="1111"/>
      <c r="AA5" s="1111"/>
      <c r="AB5" s="1111"/>
      <c r="AC5" s="1111"/>
      <c r="AD5" s="1111"/>
      <c r="AE5" s="1101" t="s">
        <v>42</v>
      </c>
      <c r="AF5" s="1160" t="s">
        <v>216</v>
      </c>
    </row>
    <row r="6" spans="1:39" ht="39.75" customHeight="1" x14ac:dyDescent="0.3">
      <c r="A6" s="215" t="s">
        <v>49</v>
      </c>
      <c r="B6" s="216" t="s">
        <v>50</v>
      </c>
      <c r="C6" s="217" t="s">
        <v>51</v>
      </c>
      <c r="D6" s="217" t="s">
        <v>115</v>
      </c>
      <c r="E6" s="1106"/>
      <c r="F6" s="1106"/>
      <c r="G6" s="1221"/>
      <c r="H6" s="18">
        <v>44228</v>
      </c>
      <c r="I6" s="18">
        <v>44256</v>
      </c>
      <c r="J6" s="18">
        <v>44287</v>
      </c>
      <c r="K6" s="18">
        <v>44317</v>
      </c>
      <c r="L6" s="18">
        <v>44348</v>
      </c>
      <c r="M6" s="18">
        <v>44378</v>
      </c>
      <c r="N6" s="18">
        <v>44409</v>
      </c>
      <c r="O6" s="18">
        <v>44440</v>
      </c>
      <c r="P6" s="18">
        <v>44470</v>
      </c>
      <c r="Q6" s="18">
        <v>44501</v>
      </c>
      <c r="R6" s="18">
        <v>44531</v>
      </c>
      <c r="S6" s="1101"/>
      <c r="T6" s="18">
        <v>44562</v>
      </c>
      <c r="U6" s="18">
        <v>44593</v>
      </c>
      <c r="V6" s="18">
        <v>44621</v>
      </c>
      <c r="W6" s="18">
        <v>44652</v>
      </c>
      <c r="X6" s="18">
        <v>44682</v>
      </c>
      <c r="Y6" s="18">
        <v>44713</v>
      </c>
      <c r="Z6" s="18">
        <v>44743</v>
      </c>
      <c r="AA6" s="18">
        <v>44774</v>
      </c>
      <c r="AB6" s="18">
        <v>44805</v>
      </c>
      <c r="AC6" s="18">
        <v>44835</v>
      </c>
      <c r="AD6" s="18">
        <v>44866</v>
      </c>
      <c r="AE6" s="1101"/>
      <c r="AF6" s="1160"/>
    </row>
    <row r="7" spans="1:39" s="89" customFormat="1" ht="32.25" customHeight="1" x14ac:dyDescent="0.3">
      <c r="A7" s="194" t="s">
        <v>90</v>
      </c>
      <c r="B7" s="198"/>
      <c r="C7" s="199"/>
      <c r="D7" s="195"/>
      <c r="E7" s="208">
        <f t="shared" ref="E7:AE7" si="0">+E10+E22+E41+E50+E66+E78+E85+E94</f>
        <v>5137500</v>
      </c>
      <c r="F7" s="208">
        <f t="shared" si="0"/>
        <v>1994920.2999999998</v>
      </c>
      <c r="G7" s="208">
        <f t="shared" si="0"/>
        <v>7132420.2999999998</v>
      </c>
      <c r="H7" s="208">
        <f t="shared" si="0"/>
        <v>84000</v>
      </c>
      <c r="I7" s="208">
        <f t="shared" si="0"/>
        <v>96000</v>
      </c>
      <c r="J7" s="208">
        <f t="shared" si="0"/>
        <v>47000</v>
      </c>
      <c r="K7" s="208">
        <f t="shared" si="0"/>
        <v>182500</v>
      </c>
      <c r="L7" s="208">
        <f t="shared" si="0"/>
        <v>209000</v>
      </c>
      <c r="M7" s="208">
        <f t="shared" si="0"/>
        <v>194000</v>
      </c>
      <c r="N7" s="208">
        <f t="shared" si="0"/>
        <v>494500</v>
      </c>
      <c r="O7" s="208">
        <f t="shared" si="0"/>
        <v>499363.5</v>
      </c>
      <c r="P7" s="208">
        <f t="shared" si="0"/>
        <v>306000</v>
      </c>
      <c r="Q7" s="208">
        <f t="shared" si="0"/>
        <v>506700</v>
      </c>
      <c r="R7" s="208">
        <f t="shared" si="0"/>
        <v>164000</v>
      </c>
      <c r="S7" s="208">
        <f t="shared" si="0"/>
        <v>2783063.5</v>
      </c>
      <c r="T7" s="208">
        <f t="shared" si="0"/>
        <v>186000</v>
      </c>
      <c r="U7" s="208">
        <f t="shared" si="0"/>
        <v>934220.29999999993</v>
      </c>
      <c r="V7" s="208">
        <f t="shared" si="0"/>
        <v>685486.5</v>
      </c>
      <c r="W7" s="208">
        <f t="shared" si="0"/>
        <v>894650</v>
      </c>
      <c r="X7" s="208">
        <f t="shared" si="0"/>
        <v>254000</v>
      </c>
      <c r="Y7" s="208">
        <f t="shared" si="0"/>
        <v>477000</v>
      </c>
      <c r="Z7" s="208">
        <f t="shared" si="0"/>
        <v>188000</v>
      </c>
      <c r="AA7" s="208">
        <f t="shared" si="0"/>
        <v>186000</v>
      </c>
      <c r="AB7" s="208">
        <f t="shared" si="0"/>
        <v>208000</v>
      </c>
      <c r="AC7" s="208">
        <f t="shared" si="0"/>
        <v>150000</v>
      </c>
      <c r="AD7" s="208">
        <f t="shared" si="0"/>
        <v>186000</v>
      </c>
      <c r="AE7" s="208">
        <f t="shared" si="0"/>
        <v>4349356.8</v>
      </c>
      <c r="AF7" s="87"/>
      <c r="AI7" s="260"/>
      <c r="AJ7" s="260"/>
      <c r="AK7" s="260"/>
    </row>
    <row r="8" spans="1:39" ht="34.5" customHeight="1" x14ac:dyDescent="0.3">
      <c r="A8" s="1063" t="s">
        <v>187</v>
      </c>
      <c r="B8" s="1064"/>
      <c r="C8" s="1064"/>
      <c r="D8" s="1064"/>
      <c r="E8" s="1064"/>
      <c r="F8" s="1064"/>
      <c r="G8" s="1065"/>
      <c r="H8" s="228"/>
      <c r="I8" s="212"/>
      <c r="J8" s="212"/>
      <c r="K8" s="212"/>
      <c r="L8" s="212"/>
      <c r="M8" s="212"/>
      <c r="N8" s="212"/>
      <c r="O8" s="212"/>
      <c r="P8" s="212"/>
      <c r="Q8" s="212"/>
      <c r="R8" s="212"/>
      <c r="S8" s="213"/>
      <c r="T8" s="212"/>
      <c r="U8" s="212"/>
      <c r="V8" s="212"/>
      <c r="W8" s="212"/>
      <c r="X8" s="212"/>
      <c r="Y8" s="212"/>
      <c r="Z8" s="212"/>
      <c r="AA8" s="212"/>
      <c r="AB8" s="212"/>
      <c r="AC8" s="212"/>
      <c r="AD8" s="212"/>
      <c r="AE8" s="213"/>
      <c r="AF8" s="214"/>
    </row>
    <row r="9" spans="1:39" ht="37.5" customHeight="1" x14ac:dyDescent="0.3">
      <c r="A9" s="1194" t="s">
        <v>91</v>
      </c>
      <c r="B9" s="1195"/>
      <c r="C9" s="1195"/>
      <c r="D9" s="1195"/>
      <c r="E9" s="1195"/>
      <c r="F9" s="1195"/>
      <c r="G9" s="1196"/>
      <c r="H9" s="222"/>
      <c r="I9" s="222"/>
      <c r="J9" s="222"/>
      <c r="K9" s="222"/>
      <c r="L9" s="222"/>
      <c r="M9" s="222"/>
      <c r="N9" s="222"/>
      <c r="O9" s="222"/>
      <c r="P9" s="222"/>
      <c r="Q9" s="222"/>
      <c r="R9" s="222"/>
      <c r="S9" s="222"/>
      <c r="T9" s="222"/>
      <c r="U9" s="222"/>
      <c r="V9" s="222"/>
      <c r="W9" s="222"/>
      <c r="X9" s="222"/>
      <c r="Y9" s="222"/>
      <c r="Z9" s="222"/>
      <c r="AA9" s="222"/>
      <c r="AB9" s="222"/>
      <c r="AC9" s="222"/>
      <c r="AD9" s="222"/>
      <c r="AE9" s="222"/>
      <c r="AF9" s="223"/>
    </row>
    <row r="10" spans="1:39" x14ac:dyDescent="0.3">
      <c r="A10" s="1131" t="s">
        <v>92</v>
      </c>
      <c r="B10" s="40"/>
      <c r="C10" s="108"/>
      <c r="D10" s="108"/>
      <c r="E10" s="70">
        <f>+E11+E18</f>
        <v>761950</v>
      </c>
      <c r="F10" s="70">
        <f>SUM(F12:F20)</f>
        <v>0</v>
      </c>
      <c r="G10" s="70">
        <f>+E10+F10</f>
        <v>761950</v>
      </c>
      <c r="H10" s="70">
        <f t="shared" ref="H10:AE10" si="1">+H11+H18</f>
        <v>37000</v>
      </c>
      <c r="I10" s="70">
        <f t="shared" si="1"/>
        <v>42450</v>
      </c>
      <c r="J10" s="70">
        <f t="shared" si="1"/>
        <v>0</v>
      </c>
      <c r="K10" s="70">
        <f t="shared" si="1"/>
        <v>17500</v>
      </c>
      <c r="L10" s="70">
        <f t="shared" si="1"/>
        <v>54000</v>
      </c>
      <c r="M10" s="70">
        <f t="shared" si="1"/>
        <v>52000</v>
      </c>
      <c r="N10" s="70">
        <f t="shared" si="1"/>
        <v>81000</v>
      </c>
      <c r="O10" s="70">
        <f t="shared" si="1"/>
        <v>43000</v>
      </c>
      <c r="P10" s="70">
        <f t="shared" si="1"/>
        <v>55000</v>
      </c>
      <c r="Q10" s="70">
        <f t="shared" si="1"/>
        <v>45000</v>
      </c>
      <c r="R10" s="70">
        <f t="shared" si="1"/>
        <v>44000</v>
      </c>
      <c r="S10" s="70">
        <f t="shared" si="1"/>
        <v>470950</v>
      </c>
      <c r="T10" s="70">
        <f t="shared" si="1"/>
        <v>31000</v>
      </c>
      <c r="U10" s="70">
        <f t="shared" si="1"/>
        <v>51000</v>
      </c>
      <c r="V10" s="70">
        <f t="shared" si="1"/>
        <v>41000</v>
      </c>
      <c r="W10" s="70">
        <f t="shared" si="1"/>
        <v>41000</v>
      </c>
      <c r="X10" s="70">
        <f t="shared" si="1"/>
        <v>41000</v>
      </c>
      <c r="Y10" s="70">
        <f t="shared" si="1"/>
        <v>16000</v>
      </c>
      <c r="Z10" s="70">
        <f t="shared" si="1"/>
        <v>16000</v>
      </c>
      <c r="AA10" s="70">
        <f t="shared" si="1"/>
        <v>16000</v>
      </c>
      <c r="AB10" s="70">
        <f t="shared" si="1"/>
        <v>16000</v>
      </c>
      <c r="AC10" s="70">
        <f t="shared" si="1"/>
        <v>16000</v>
      </c>
      <c r="AD10" s="70">
        <f t="shared" si="1"/>
        <v>6000</v>
      </c>
      <c r="AE10" s="70">
        <f t="shared" si="1"/>
        <v>291000</v>
      </c>
      <c r="AF10" s="40" t="s">
        <v>185</v>
      </c>
    </row>
    <row r="11" spans="1:39" x14ac:dyDescent="0.3">
      <c r="A11" s="1131"/>
      <c r="B11" s="1192" t="s">
        <v>2</v>
      </c>
      <c r="C11" s="1075" t="s">
        <v>114</v>
      </c>
      <c r="D11" s="111"/>
      <c r="E11" s="112">
        <f t="shared" ref="E11:AE11" si="2">SUM(E12:E17)</f>
        <v>572500</v>
      </c>
      <c r="F11" s="112">
        <f t="shared" si="2"/>
        <v>0</v>
      </c>
      <c r="G11" s="112">
        <f t="shared" si="2"/>
        <v>572500</v>
      </c>
      <c r="H11" s="112">
        <f t="shared" si="2"/>
        <v>37000</v>
      </c>
      <c r="I11" s="112">
        <f t="shared" si="2"/>
        <v>37000</v>
      </c>
      <c r="J11" s="112">
        <f t="shared" si="2"/>
        <v>0</v>
      </c>
      <c r="K11" s="112">
        <f t="shared" si="2"/>
        <v>11500</v>
      </c>
      <c r="L11" s="112">
        <f t="shared" si="2"/>
        <v>48000</v>
      </c>
      <c r="M11" s="112">
        <f t="shared" si="2"/>
        <v>48000</v>
      </c>
      <c r="N11" s="112">
        <f t="shared" si="2"/>
        <v>60000</v>
      </c>
      <c r="O11" s="112">
        <f t="shared" si="2"/>
        <v>35000</v>
      </c>
      <c r="P11" s="112">
        <f t="shared" si="2"/>
        <v>35000</v>
      </c>
      <c r="Q11" s="112">
        <f t="shared" si="2"/>
        <v>35000</v>
      </c>
      <c r="R11" s="112">
        <f t="shared" si="2"/>
        <v>35000</v>
      </c>
      <c r="S11" s="112">
        <f t="shared" si="2"/>
        <v>381500</v>
      </c>
      <c r="T11" s="112">
        <f t="shared" si="2"/>
        <v>31000</v>
      </c>
      <c r="U11" s="112">
        <f t="shared" si="2"/>
        <v>31000</v>
      </c>
      <c r="V11" s="112">
        <f t="shared" si="2"/>
        <v>31000</v>
      </c>
      <c r="W11" s="112">
        <f t="shared" si="2"/>
        <v>31000</v>
      </c>
      <c r="X11" s="112">
        <f t="shared" si="2"/>
        <v>31000</v>
      </c>
      <c r="Y11" s="112">
        <f t="shared" si="2"/>
        <v>6000</v>
      </c>
      <c r="Z11" s="112">
        <f t="shared" si="2"/>
        <v>6000</v>
      </c>
      <c r="AA11" s="112">
        <f t="shared" si="2"/>
        <v>6000</v>
      </c>
      <c r="AB11" s="112">
        <f t="shared" si="2"/>
        <v>6000</v>
      </c>
      <c r="AC11" s="112">
        <f t="shared" si="2"/>
        <v>6000</v>
      </c>
      <c r="AD11" s="112">
        <f t="shared" si="2"/>
        <v>6000</v>
      </c>
      <c r="AE11" s="112">
        <f t="shared" si="2"/>
        <v>191000</v>
      </c>
      <c r="AF11" s="210" t="s">
        <v>185</v>
      </c>
      <c r="AM11" s="261"/>
    </row>
    <row r="12" spans="1:39" s="257" customFormat="1" ht="39.75" customHeight="1" x14ac:dyDescent="0.3">
      <c r="A12" s="1131"/>
      <c r="B12" s="1193"/>
      <c r="C12" s="1076"/>
      <c r="D12" s="197" t="s">
        <v>597</v>
      </c>
      <c r="E12" s="254">
        <f t="shared" ref="E12:E17" si="3">+S12+AE12</f>
        <v>250000</v>
      </c>
      <c r="F12" s="254">
        <v>0</v>
      </c>
      <c r="G12" s="255">
        <f t="shared" ref="G12:G17" si="4">+E12+F12</f>
        <v>250000</v>
      </c>
      <c r="H12" s="556">
        <v>25000</v>
      </c>
      <c r="I12" s="556">
        <v>25000</v>
      </c>
      <c r="J12" s="556">
        <v>0</v>
      </c>
      <c r="K12" s="556">
        <v>0</v>
      </c>
      <c r="L12" s="556">
        <v>25000</v>
      </c>
      <c r="M12" s="556">
        <v>25000</v>
      </c>
      <c r="N12" s="556">
        <v>25000</v>
      </c>
      <c r="O12" s="252"/>
      <c r="P12" s="252"/>
      <c r="Q12" s="252"/>
      <c r="R12" s="252"/>
      <c r="S12" s="253">
        <f t="shared" ref="S12:S17" si="5">SUM(H12:R12)</f>
        <v>125000</v>
      </c>
      <c r="T12" s="556">
        <v>25000</v>
      </c>
      <c r="U12" s="556">
        <v>25000</v>
      </c>
      <c r="V12" s="556">
        <v>25000</v>
      </c>
      <c r="W12" s="556">
        <v>25000</v>
      </c>
      <c r="X12" s="556">
        <v>25000</v>
      </c>
      <c r="Y12" s="252"/>
      <c r="Z12" s="252"/>
      <c r="AA12" s="252"/>
      <c r="AB12" s="252"/>
      <c r="AC12" s="252"/>
      <c r="AD12" s="252"/>
      <c r="AE12" s="253">
        <f t="shared" ref="AE12:AE17" si="6">SUM(T12:AD12)</f>
        <v>125000</v>
      </c>
      <c r="AF12" s="256" t="s">
        <v>185</v>
      </c>
      <c r="AI12" s="262"/>
      <c r="AJ12" s="262"/>
      <c r="AK12" s="262"/>
    </row>
    <row r="13" spans="1:39" s="258" customFormat="1" ht="21" customHeight="1" x14ac:dyDescent="0.3">
      <c r="A13" s="1131"/>
      <c r="B13" s="1193"/>
      <c r="C13" s="1076"/>
      <c r="D13" s="197" t="s">
        <v>117</v>
      </c>
      <c r="E13" s="254">
        <f>+S13+AE13</f>
        <v>54000</v>
      </c>
      <c r="F13" s="254">
        <v>0</v>
      </c>
      <c r="G13" s="255">
        <f>+E13+F13</f>
        <v>54000</v>
      </c>
      <c r="H13" s="555">
        <v>12000</v>
      </c>
      <c r="I13" s="555">
        <v>12000</v>
      </c>
      <c r="J13" s="559"/>
      <c r="K13" s="559"/>
      <c r="L13" s="559"/>
      <c r="M13" s="559"/>
      <c r="N13" s="568">
        <v>6000</v>
      </c>
      <c r="O13" s="559">
        <v>6000</v>
      </c>
      <c r="P13" s="559">
        <v>6000</v>
      </c>
      <c r="Q13" s="559">
        <v>6000</v>
      </c>
      <c r="R13" s="559">
        <v>6000</v>
      </c>
      <c r="S13" s="253">
        <f t="shared" si="5"/>
        <v>54000</v>
      </c>
      <c r="T13" s="252"/>
      <c r="U13" s="252"/>
      <c r="V13" s="252"/>
      <c r="W13" s="252"/>
      <c r="X13" s="252"/>
      <c r="Y13" s="252"/>
      <c r="Z13" s="252"/>
      <c r="AA13" s="252"/>
      <c r="AB13" s="252"/>
      <c r="AC13" s="252"/>
      <c r="AD13" s="252"/>
      <c r="AE13" s="253">
        <f t="shared" si="6"/>
        <v>0</v>
      </c>
      <c r="AF13" s="256" t="s">
        <v>185</v>
      </c>
      <c r="AI13" s="261"/>
      <c r="AJ13" s="261"/>
      <c r="AK13" s="261"/>
      <c r="AM13" s="263"/>
    </row>
    <row r="14" spans="1:39" s="258" customFormat="1" ht="27.75" customHeight="1" x14ac:dyDescent="0.3">
      <c r="A14" s="1131"/>
      <c r="B14" s="1193"/>
      <c r="C14" s="1076"/>
      <c r="D14" s="558" t="s">
        <v>602</v>
      </c>
      <c r="E14" s="254">
        <f t="shared" si="3"/>
        <v>82500</v>
      </c>
      <c r="F14" s="254">
        <v>0</v>
      </c>
      <c r="G14" s="255">
        <f t="shared" si="4"/>
        <v>82500</v>
      </c>
      <c r="H14" s="252"/>
      <c r="I14" s="252"/>
      <c r="J14" s="569"/>
      <c r="K14" s="557">
        <v>5500</v>
      </c>
      <c r="L14" s="557">
        <v>11000</v>
      </c>
      <c r="M14" s="557">
        <v>11000</v>
      </c>
      <c r="N14" s="557">
        <v>11000</v>
      </c>
      <c r="O14" s="557">
        <v>11000</v>
      </c>
      <c r="P14" s="557">
        <v>11000</v>
      </c>
      <c r="Q14" s="557">
        <v>11000</v>
      </c>
      <c r="R14" s="557">
        <v>11000</v>
      </c>
      <c r="S14" s="253">
        <f t="shared" si="5"/>
        <v>82500</v>
      </c>
      <c r="T14" s="61"/>
      <c r="U14" s="61"/>
      <c r="V14" s="61"/>
      <c r="W14" s="61"/>
      <c r="X14" s="61"/>
      <c r="Y14" s="61"/>
      <c r="Z14" s="61"/>
      <c r="AA14" s="61"/>
      <c r="AB14" s="61"/>
      <c r="AC14" s="61"/>
      <c r="AD14" s="61"/>
      <c r="AE14" s="253">
        <f t="shared" si="6"/>
        <v>0</v>
      </c>
      <c r="AF14" s="256" t="s">
        <v>185</v>
      </c>
      <c r="AI14" s="261"/>
      <c r="AJ14" s="261"/>
      <c r="AK14" s="261"/>
      <c r="AM14" s="259"/>
    </row>
    <row r="15" spans="1:39" s="258" customFormat="1" ht="27.75" customHeight="1" x14ac:dyDescent="0.3">
      <c r="A15" s="1131"/>
      <c r="B15" s="1193"/>
      <c r="C15" s="1076"/>
      <c r="D15" s="558" t="s">
        <v>118</v>
      </c>
      <c r="E15" s="254">
        <f t="shared" si="3"/>
        <v>45000</v>
      </c>
      <c r="F15" s="254">
        <v>0</v>
      </c>
      <c r="G15" s="255">
        <f t="shared" si="4"/>
        <v>45000</v>
      </c>
      <c r="H15" s="252"/>
      <c r="I15" s="252"/>
      <c r="J15" s="252"/>
      <c r="K15" s="557">
        <v>3000</v>
      </c>
      <c r="L15" s="557">
        <v>6000</v>
      </c>
      <c r="M15" s="557">
        <v>6000</v>
      </c>
      <c r="N15" s="557">
        <v>6000</v>
      </c>
      <c r="O15" s="557">
        <v>6000</v>
      </c>
      <c r="P15" s="557">
        <v>6000</v>
      </c>
      <c r="Q15" s="557">
        <v>6000</v>
      </c>
      <c r="R15" s="557">
        <v>6000</v>
      </c>
      <c r="S15" s="253">
        <f t="shared" si="5"/>
        <v>45000</v>
      </c>
      <c r="T15" s="264"/>
      <c r="U15" s="252"/>
      <c r="V15" s="252"/>
      <c r="W15" s="252"/>
      <c r="X15" s="252"/>
      <c r="Y15" s="252"/>
      <c r="Z15" s="252"/>
      <c r="AA15" s="252"/>
      <c r="AB15" s="252"/>
      <c r="AC15" s="252"/>
      <c r="AD15" s="252"/>
      <c r="AE15" s="253">
        <f t="shared" si="6"/>
        <v>0</v>
      </c>
      <c r="AF15" s="256" t="s">
        <v>185</v>
      </c>
      <c r="AI15" s="261"/>
      <c r="AJ15" s="261"/>
      <c r="AK15" s="261"/>
      <c r="AM15" s="84"/>
    </row>
    <row r="16" spans="1:39" s="258" customFormat="1" ht="33" customHeight="1" x14ac:dyDescent="0.3">
      <c r="A16" s="1131"/>
      <c r="B16" s="1193"/>
      <c r="C16" s="1076"/>
      <c r="D16" s="563" t="s">
        <v>603</v>
      </c>
      <c r="E16" s="254">
        <f t="shared" si="3"/>
        <v>96000</v>
      </c>
      <c r="F16" s="254">
        <v>0</v>
      </c>
      <c r="G16" s="255">
        <f t="shared" si="4"/>
        <v>96000</v>
      </c>
      <c r="H16" s="252"/>
      <c r="I16" s="252"/>
      <c r="J16" s="252"/>
      <c r="K16" s="562"/>
      <c r="L16" s="562"/>
      <c r="M16" s="562"/>
      <c r="N16" s="562">
        <v>6000</v>
      </c>
      <c r="O16" s="562">
        <v>6000</v>
      </c>
      <c r="P16" s="562">
        <v>6000</v>
      </c>
      <c r="Q16" s="562">
        <v>6000</v>
      </c>
      <c r="R16" s="562">
        <v>6000</v>
      </c>
      <c r="S16" s="253">
        <f t="shared" si="5"/>
        <v>30000</v>
      </c>
      <c r="T16" s="562">
        <v>6000</v>
      </c>
      <c r="U16" s="562">
        <v>6000</v>
      </c>
      <c r="V16" s="562">
        <v>6000</v>
      </c>
      <c r="W16" s="562">
        <v>6000</v>
      </c>
      <c r="X16" s="562">
        <v>6000</v>
      </c>
      <c r="Y16" s="562">
        <v>6000</v>
      </c>
      <c r="Z16" s="562">
        <v>6000</v>
      </c>
      <c r="AA16" s="562">
        <v>6000</v>
      </c>
      <c r="AB16" s="562">
        <v>6000</v>
      </c>
      <c r="AC16" s="562">
        <v>6000</v>
      </c>
      <c r="AD16" s="562">
        <v>6000</v>
      </c>
      <c r="AE16" s="253">
        <f t="shared" si="6"/>
        <v>66000</v>
      </c>
      <c r="AF16" s="256" t="s">
        <v>185</v>
      </c>
      <c r="AI16" s="261"/>
      <c r="AJ16" s="261"/>
      <c r="AK16" s="261"/>
      <c r="AM16" s="84"/>
    </row>
    <row r="17" spans="1:39" s="258" customFormat="1" ht="21" customHeight="1" x14ac:dyDescent="0.3">
      <c r="A17" s="1131"/>
      <c r="B17" s="1197"/>
      <c r="C17" s="1077"/>
      <c r="D17" s="563" t="s">
        <v>604</v>
      </c>
      <c r="E17" s="254">
        <f t="shared" si="3"/>
        <v>45000</v>
      </c>
      <c r="F17" s="254">
        <v>0</v>
      </c>
      <c r="G17" s="255">
        <f t="shared" si="4"/>
        <v>45000</v>
      </c>
      <c r="H17" s="252"/>
      <c r="I17" s="252"/>
      <c r="J17" s="252"/>
      <c r="K17" s="562">
        <v>3000</v>
      </c>
      <c r="L17" s="562">
        <v>6000</v>
      </c>
      <c r="M17" s="562">
        <v>6000</v>
      </c>
      <c r="N17" s="562">
        <v>6000</v>
      </c>
      <c r="O17" s="562">
        <v>6000</v>
      </c>
      <c r="P17" s="562">
        <v>6000</v>
      </c>
      <c r="Q17" s="562">
        <v>6000</v>
      </c>
      <c r="R17" s="562">
        <v>6000</v>
      </c>
      <c r="S17" s="253">
        <f t="shared" si="5"/>
        <v>45000</v>
      </c>
      <c r="T17" s="252"/>
      <c r="U17" s="252"/>
      <c r="V17" s="252"/>
      <c r="W17" s="252"/>
      <c r="X17" s="252"/>
      <c r="Y17" s="252"/>
      <c r="Z17" s="252"/>
      <c r="AA17" s="252"/>
      <c r="AB17" s="252"/>
      <c r="AC17" s="252"/>
      <c r="AD17" s="252"/>
      <c r="AE17" s="253">
        <f t="shared" si="6"/>
        <v>0</v>
      </c>
      <c r="AF17" s="256" t="s">
        <v>185</v>
      </c>
      <c r="AJ17" s="261"/>
      <c r="AK17" s="261"/>
      <c r="AM17" s="259"/>
    </row>
    <row r="18" spans="1:39" s="4" customFormat="1" ht="13.5" customHeight="1" x14ac:dyDescent="0.3">
      <c r="A18" s="1131"/>
      <c r="B18" s="1192" t="s">
        <v>3</v>
      </c>
      <c r="C18" s="1075" t="s">
        <v>643</v>
      </c>
      <c r="D18" s="113"/>
      <c r="E18" s="114">
        <f>SUM(E19:E20)</f>
        <v>189450</v>
      </c>
      <c r="F18" s="114">
        <f>SUM(F19:F20)</f>
        <v>0</v>
      </c>
      <c r="G18" s="114">
        <f>SUM(G19:G20)</f>
        <v>189450</v>
      </c>
      <c r="H18" s="115">
        <f>SUM(H19:H20)</f>
        <v>0</v>
      </c>
      <c r="I18" s="115">
        <f t="shared" ref="I18:S18" si="7">SUM(I19:I20)</f>
        <v>5450</v>
      </c>
      <c r="J18" s="115">
        <f t="shared" si="7"/>
        <v>0</v>
      </c>
      <c r="K18" s="115">
        <f t="shared" si="7"/>
        <v>6000</v>
      </c>
      <c r="L18" s="115">
        <f t="shared" si="7"/>
        <v>6000</v>
      </c>
      <c r="M18" s="115">
        <f t="shared" si="7"/>
        <v>4000</v>
      </c>
      <c r="N18" s="115">
        <f t="shared" si="7"/>
        <v>21000</v>
      </c>
      <c r="O18" s="115">
        <f t="shared" si="7"/>
        <v>8000</v>
      </c>
      <c r="P18" s="115">
        <f t="shared" si="7"/>
        <v>20000</v>
      </c>
      <c r="Q18" s="115">
        <f t="shared" si="7"/>
        <v>10000</v>
      </c>
      <c r="R18" s="115">
        <f t="shared" si="7"/>
        <v>9000</v>
      </c>
      <c r="S18" s="115">
        <f t="shared" si="7"/>
        <v>89450</v>
      </c>
      <c r="T18" s="115">
        <f>SUM(T19:T20)</f>
        <v>0</v>
      </c>
      <c r="U18" s="115">
        <f t="shared" ref="U18:AD18" si="8">SUM(U19:U20)</f>
        <v>20000</v>
      </c>
      <c r="V18" s="115">
        <f t="shared" si="8"/>
        <v>10000</v>
      </c>
      <c r="W18" s="115">
        <f t="shared" si="8"/>
        <v>10000</v>
      </c>
      <c r="X18" s="115">
        <f t="shared" si="8"/>
        <v>10000</v>
      </c>
      <c r="Y18" s="115">
        <f t="shared" si="8"/>
        <v>10000</v>
      </c>
      <c r="Z18" s="115">
        <f t="shared" si="8"/>
        <v>10000</v>
      </c>
      <c r="AA18" s="115">
        <f t="shared" si="8"/>
        <v>10000</v>
      </c>
      <c r="AB18" s="115">
        <f t="shared" si="8"/>
        <v>10000</v>
      </c>
      <c r="AC18" s="115">
        <f t="shared" si="8"/>
        <v>10000</v>
      </c>
      <c r="AD18" s="115">
        <f t="shared" si="8"/>
        <v>0</v>
      </c>
      <c r="AE18" s="115">
        <f>SUM(AE19:AE20)</f>
        <v>100000</v>
      </c>
      <c r="AF18" s="116"/>
      <c r="AJ18" s="84"/>
      <c r="AK18" s="84"/>
      <c r="AM18" s="259"/>
    </row>
    <row r="19" spans="1:39" s="4" customFormat="1" ht="25.5" customHeight="1" x14ac:dyDescent="0.3">
      <c r="A19" s="1131"/>
      <c r="B19" s="1193"/>
      <c r="C19" s="1076"/>
      <c r="D19" s="2" t="s">
        <v>119</v>
      </c>
      <c r="E19" s="23">
        <f>+S19+AE19</f>
        <v>159450</v>
      </c>
      <c r="F19" s="23">
        <v>0</v>
      </c>
      <c r="G19" s="82">
        <f>+E19+F19</f>
        <v>159450</v>
      </c>
      <c r="H19" s="73"/>
      <c r="I19" s="81">
        <f>3000+2450</f>
        <v>5450</v>
      </c>
      <c r="J19" s="73"/>
      <c r="K19" s="73">
        <v>6000</v>
      </c>
      <c r="L19" s="73">
        <v>6000</v>
      </c>
      <c r="M19" s="73">
        <v>4000</v>
      </c>
      <c r="N19" s="569">
        <v>11000</v>
      </c>
      <c r="O19" s="76">
        <v>8000</v>
      </c>
      <c r="P19" s="73">
        <v>10000</v>
      </c>
      <c r="Q19" s="73">
        <v>10000</v>
      </c>
      <c r="R19" s="73">
        <v>9000</v>
      </c>
      <c r="S19" s="74">
        <f>SUM(H19:R19)</f>
        <v>69450</v>
      </c>
      <c r="T19" s="73"/>
      <c r="U19" s="73">
        <v>10000</v>
      </c>
      <c r="V19" s="73">
        <v>10000</v>
      </c>
      <c r="W19" s="73">
        <v>10000</v>
      </c>
      <c r="X19" s="73">
        <v>10000</v>
      </c>
      <c r="Y19" s="73">
        <v>10000</v>
      </c>
      <c r="Z19" s="73">
        <v>10000</v>
      </c>
      <c r="AA19" s="73">
        <v>10000</v>
      </c>
      <c r="AB19" s="73">
        <v>10000</v>
      </c>
      <c r="AC19" s="73">
        <v>10000</v>
      </c>
      <c r="AD19" s="73"/>
      <c r="AE19" s="74">
        <f>SUM(T19:AD19)</f>
        <v>90000</v>
      </c>
      <c r="AF19" s="24" t="s">
        <v>185</v>
      </c>
      <c r="AI19" s="84"/>
      <c r="AJ19" s="84"/>
      <c r="AK19" s="84"/>
      <c r="AM19" s="265"/>
    </row>
    <row r="20" spans="1:39" s="4" customFormat="1" ht="45" customHeight="1" x14ac:dyDescent="0.3">
      <c r="A20" s="1131"/>
      <c r="B20" s="1197"/>
      <c r="C20" s="1077"/>
      <c r="D20" s="2" t="s">
        <v>120</v>
      </c>
      <c r="E20" s="23">
        <f>+S20+AE20</f>
        <v>30000</v>
      </c>
      <c r="F20" s="23">
        <v>0</v>
      </c>
      <c r="G20" s="82">
        <f>+E20+F20</f>
        <v>30000</v>
      </c>
      <c r="H20" s="73"/>
      <c r="I20" s="73"/>
      <c r="J20" s="73"/>
      <c r="K20" s="73"/>
      <c r="L20" s="73"/>
      <c r="M20" s="73"/>
      <c r="N20" s="569">
        <v>10000</v>
      </c>
      <c r="O20" s="73"/>
      <c r="P20" s="73">
        <v>10000</v>
      </c>
      <c r="Q20" s="73"/>
      <c r="R20" s="73"/>
      <c r="S20" s="74">
        <f>SUM(H20:R20)</f>
        <v>20000</v>
      </c>
      <c r="T20" s="73"/>
      <c r="U20" s="73">
        <v>10000</v>
      </c>
      <c r="V20" s="73"/>
      <c r="W20" s="73"/>
      <c r="X20" s="73"/>
      <c r="Y20" s="73"/>
      <c r="Z20" s="73"/>
      <c r="AA20" s="73"/>
      <c r="AB20" s="73"/>
      <c r="AC20" s="73"/>
      <c r="AD20" s="73"/>
      <c r="AE20" s="74">
        <f>SUM(T20:AD20)</f>
        <v>10000</v>
      </c>
      <c r="AF20" s="24" t="s">
        <v>185</v>
      </c>
      <c r="AI20" s="84"/>
      <c r="AJ20" s="84"/>
      <c r="AK20" s="84"/>
    </row>
    <row r="21" spans="1:39" ht="37.5" customHeight="1" x14ac:dyDescent="0.3">
      <c r="A21" s="1194" t="s">
        <v>109</v>
      </c>
      <c r="B21" s="1195"/>
      <c r="C21" s="1195"/>
      <c r="D21" s="1195"/>
      <c r="E21" s="1195"/>
      <c r="F21" s="1195"/>
      <c r="G21" s="1196"/>
      <c r="H21" s="222"/>
      <c r="I21" s="222"/>
      <c r="J21" s="222"/>
      <c r="K21" s="222"/>
      <c r="L21" s="222"/>
      <c r="M21" s="222"/>
      <c r="N21" s="222"/>
      <c r="O21" s="222"/>
      <c r="P21" s="222"/>
      <c r="Q21" s="222"/>
      <c r="R21" s="222"/>
      <c r="S21" s="222"/>
      <c r="T21" s="222"/>
      <c r="U21" s="222"/>
      <c r="V21" s="222"/>
      <c r="W21" s="222"/>
      <c r="X21" s="222"/>
      <c r="Y21" s="222"/>
      <c r="Z21" s="222"/>
      <c r="AA21" s="222"/>
      <c r="AB21" s="222"/>
      <c r="AC21" s="222"/>
      <c r="AD21" s="222"/>
      <c r="AE21" s="222"/>
      <c r="AF21" s="223"/>
    </row>
    <row r="22" spans="1:39" ht="15" customHeight="1" x14ac:dyDescent="0.3">
      <c r="A22" s="1080" t="s">
        <v>110</v>
      </c>
      <c r="B22" s="40"/>
      <c r="C22" s="108"/>
      <c r="D22" s="108"/>
      <c r="E22" s="70">
        <f>+E23+E31+E35+E37</f>
        <v>1881220</v>
      </c>
      <c r="F22" s="70">
        <f t="shared" ref="F22:AE22" si="9">+F23+F31+F35+F37</f>
        <v>300000</v>
      </c>
      <c r="G22" s="70">
        <f t="shared" si="9"/>
        <v>2181220</v>
      </c>
      <c r="H22" s="70">
        <f t="shared" si="9"/>
        <v>25000</v>
      </c>
      <c r="I22" s="70">
        <f t="shared" si="9"/>
        <v>28220</v>
      </c>
      <c r="J22" s="70">
        <f t="shared" si="9"/>
        <v>36000</v>
      </c>
      <c r="K22" s="70">
        <f t="shared" si="9"/>
        <v>57000</v>
      </c>
      <c r="L22" s="70">
        <f t="shared" si="9"/>
        <v>73000</v>
      </c>
      <c r="M22" s="70">
        <f t="shared" si="9"/>
        <v>70000</v>
      </c>
      <c r="N22" s="70">
        <f t="shared" si="9"/>
        <v>109000</v>
      </c>
      <c r="O22" s="70">
        <f t="shared" si="9"/>
        <v>296863.5</v>
      </c>
      <c r="P22" s="70">
        <f t="shared" si="9"/>
        <v>84000</v>
      </c>
      <c r="Q22" s="70">
        <f t="shared" si="9"/>
        <v>74000</v>
      </c>
      <c r="R22" s="70">
        <f t="shared" si="9"/>
        <v>76000</v>
      </c>
      <c r="S22" s="70">
        <f t="shared" si="9"/>
        <v>929083.5</v>
      </c>
      <c r="T22" s="70">
        <f t="shared" si="9"/>
        <v>87000</v>
      </c>
      <c r="U22" s="70">
        <f t="shared" si="9"/>
        <v>93000</v>
      </c>
      <c r="V22" s="70">
        <f t="shared" si="9"/>
        <v>170136.5</v>
      </c>
      <c r="W22" s="70">
        <f t="shared" si="9"/>
        <v>93000</v>
      </c>
      <c r="X22" s="70">
        <f t="shared" si="9"/>
        <v>99000</v>
      </c>
      <c r="Y22" s="70">
        <f t="shared" si="9"/>
        <v>368000</v>
      </c>
      <c r="Z22" s="70">
        <f t="shared" si="9"/>
        <v>74000</v>
      </c>
      <c r="AA22" s="70">
        <f t="shared" si="9"/>
        <v>66000</v>
      </c>
      <c r="AB22" s="70">
        <f t="shared" si="9"/>
        <v>74000</v>
      </c>
      <c r="AC22" s="70">
        <f t="shared" si="9"/>
        <v>66000</v>
      </c>
      <c r="AD22" s="70">
        <f t="shared" si="9"/>
        <v>62000</v>
      </c>
      <c r="AE22" s="70">
        <f t="shared" si="9"/>
        <v>1252136.5</v>
      </c>
      <c r="AF22" s="40" t="s">
        <v>185</v>
      </c>
    </row>
    <row r="23" spans="1:39" x14ac:dyDescent="0.3">
      <c r="A23" s="1081"/>
      <c r="B23" s="1192" t="s">
        <v>2</v>
      </c>
      <c r="C23" s="1075" t="s">
        <v>207</v>
      </c>
      <c r="D23" s="111"/>
      <c r="E23" s="112">
        <f>SUM(E24:E30)</f>
        <v>1245000</v>
      </c>
      <c r="F23" s="112">
        <f t="shared" ref="F23:AE23" si="10">SUM(F24:F30)</f>
        <v>0</v>
      </c>
      <c r="G23" s="112">
        <f t="shared" si="10"/>
        <v>1245000</v>
      </c>
      <c r="H23" s="112">
        <f t="shared" si="10"/>
        <v>25000</v>
      </c>
      <c r="I23" s="112">
        <f t="shared" si="10"/>
        <v>25000</v>
      </c>
      <c r="J23" s="112">
        <f t="shared" si="10"/>
        <v>36000</v>
      </c>
      <c r="K23" s="112">
        <f t="shared" si="10"/>
        <v>53000</v>
      </c>
      <c r="L23" s="112">
        <f t="shared" si="10"/>
        <v>70000</v>
      </c>
      <c r="M23" s="112">
        <f t="shared" si="10"/>
        <v>70000</v>
      </c>
      <c r="N23" s="112">
        <f t="shared" si="10"/>
        <v>76000</v>
      </c>
      <c r="O23" s="112">
        <f t="shared" si="10"/>
        <v>51000</v>
      </c>
      <c r="P23" s="112">
        <f t="shared" si="10"/>
        <v>51000</v>
      </c>
      <c r="Q23" s="112">
        <f t="shared" si="10"/>
        <v>51000</v>
      </c>
      <c r="R23" s="112">
        <f t="shared" si="10"/>
        <v>51000</v>
      </c>
      <c r="S23" s="112">
        <f t="shared" si="10"/>
        <v>559000</v>
      </c>
      <c r="T23" s="112">
        <f t="shared" si="10"/>
        <v>76000</v>
      </c>
      <c r="U23" s="112">
        <f t="shared" si="10"/>
        <v>76000</v>
      </c>
      <c r="V23" s="112">
        <f t="shared" si="10"/>
        <v>76000</v>
      </c>
      <c r="W23" s="112">
        <f t="shared" si="10"/>
        <v>76000</v>
      </c>
      <c r="X23" s="112">
        <f t="shared" si="10"/>
        <v>76000</v>
      </c>
      <c r="Y23" s="112">
        <f t="shared" si="10"/>
        <v>51000</v>
      </c>
      <c r="Z23" s="112">
        <f t="shared" si="10"/>
        <v>51000</v>
      </c>
      <c r="AA23" s="112">
        <f t="shared" si="10"/>
        <v>51000</v>
      </c>
      <c r="AB23" s="112">
        <f t="shared" si="10"/>
        <v>51000</v>
      </c>
      <c r="AC23" s="112">
        <f t="shared" si="10"/>
        <v>51000</v>
      </c>
      <c r="AD23" s="112">
        <f t="shared" si="10"/>
        <v>51000</v>
      </c>
      <c r="AE23" s="112">
        <f t="shared" si="10"/>
        <v>686000</v>
      </c>
      <c r="AF23" s="112" t="s">
        <v>185</v>
      </c>
    </row>
    <row r="24" spans="1:39" s="257" customFormat="1" ht="41.25" customHeight="1" x14ac:dyDescent="0.3">
      <c r="A24" s="1081"/>
      <c r="B24" s="1193"/>
      <c r="C24" s="1076"/>
      <c r="D24" s="197" t="s">
        <v>215</v>
      </c>
      <c r="E24" s="254">
        <f>+S24+AE24</f>
        <v>300000</v>
      </c>
      <c r="F24" s="254">
        <v>0</v>
      </c>
      <c r="G24" s="255">
        <f>+E24+F24</f>
        <v>300000</v>
      </c>
      <c r="H24" s="556">
        <v>25000</v>
      </c>
      <c r="I24" s="556">
        <v>25000</v>
      </c>
      <c r="J24" s="556">
        <v>25000</v>
      </c>
      <c r="K24" s="556">
        <v>25000</v>
      </c>
      <c r="L24" s="556">
        <v>25000</v>
      </c>
      <c r="M24" s="556">
        <v>25000</v>
      </c>
      <c r="N24" s="556">
        <v>25000</v>
      </c>
      <c r="O24" s="252"/>
      <c r="P24" s="252"/>
      <c r="Q24" s="252"/>
      <c r="R24" s="252"/>
      <c r="S24" s="253">
        <f t="shared" ref="S24:S30" si="11">SUM(H24:R24)</f>
        <v>175000</v>
      </c>
      <c r="T24" s="556">
        <v>25000</v>
      </c>
      <c r="U24" s="556">
        <v>25000</v>
      </c>
      <c r="V24" s="556">
        <v>25000</v>
      </c>
      <c r="W24" s="556">
        <v>25000</v>
      </c>
      <c r="X24" s="556">
        <v>25000</v>
      </c>
      <c r="Y24" s="252"/>
      <c r="Z24" s="252"/>
      <c r="AA24" s="252"/>
      <c r="AB24" s="252"/>
      <c r="AC24" s="252"/>
      <c r="AD24" s="252"/>
      <c r="AE24" s="253">
        <f>SUM(T24:AD24)</f>
        <v>125000</v>
      </c>
      <c r="AF24" s="256" t="s">
        <v>185</v>
      </c>
      <c r="AI24" s="262"/>
      <c r="AJ24" s="262"/>
      <c r="AK24" s="262"/>
    </row>
    <row r="25" spans="1:39" s="257" customFormat="1" ht="18.75" customHeight="1" x14ac:dyDescent="0.3">
      <c r="A25" s="1081"/>
      <c r="B25" s="1193"/>
      <c r="C25" s="1076"/>
      <c r="D25" s="197" t="s">
        <v>116</v>
      </c>
      <c r="E25" s="254">
        <f t="shared" ref="E25:E30" si="12">+S25+AE25</f>
        <v>220000</v>
      </c>
      <c r="F25" s="254">
        <v>0</v>
      </c>
      <c r="G25" s="255">
        <f t="shared" ref="G25:G30" si="13">+E25+F25</f>
        <v>220000</v>
      </c>
      <c r="H25" s="252"/>
      <c r="I25" s="569"/>
      <c r="J25" s="559">
        <v>11000</v>
      </c>
      <c r="K25" s="559">
        <v>11000</v>
      </c>
      <c r="L25" s="559">
        <v>11000</v>
      </c>
      <c r="M25" s="559">
        <v>11000</v>
      </c>
      <c r="N25" s="559">
        <v>11000</v>
      </c>
      <c r="O25" s="559">
        <v>11000</v>
      </c>
      <c r="P25" s="559">
        <v>11000</v>
      </c>
      <c r="Q25" s="559">
        <v>11000</v>
      </c>
      <c r="R25" s="559">
        <v>11000</v>
      </c>
      <c r="S25" s="253">
        <f t="shared" si="11"/>
        <v>99000</v>
      </c>
      <c r="T25" s="559">
        <v>11000</v>
      </c>
      <c r="U25" s="559">
        <v>11000</v>
      </c>
      <c r="V25" s="559">
        <v>11000</v>
      </c>
      <c r="W25" s="559">
        <v>11000</v>
      </c>
      <c r="X25" s="559">
        <v>11000</v>
      </c>
      <c r="Y25" s="559">
        <v>11000</v>
      </c>
      <c r="Z25" s="559">
        <v>11000</v>
      </c>
      <c r="AA25" s="559">
        <v>11000</v>
      </c>
      <c r="AB25" s="559">
        <v>11000</v>
      </c>
      <c r="AC25" s="559">
        <v>11000</v>
      </c>
      <c r="AD25" s="559">
        <v>11000</v>
      </c>
      <c r="AE25" s="253">
        <f t="shared" ref="AE25:AE30" si="14">SUM(T25:AD25)</f>
        <v>121000</v>
      </c>
      <c r="AF25" s="256" t="s">
        <v>185</v>
      </c>
      <c r="AI25" s="262"/>
      <c r="AJ25" s="262"/>
      <c r="AK25" s="262"/>
    </row>
    <row r="26" spans="1:39" s="257" customFormat="1" ht="18.75" customHeight="1" x14ac:dyDescent="0.3">
      <c r="A26" s="1081"/>
      <c r="B26" s="1193"/>
      <c r="C26" s="1076"/>
      <c r="D26" s="197" t="s">
        <v>117</v>
      </c>
      <c r="E26" s="254">
        <f t="shared" si="12"/>
        <v>96000</v>
      </c>
      <c r="F26" s="254">
        <v>0</v>
      </c>
      <c r="G26" s="255">
        <f t="shared" si="13"/>
        <v>96000</v>
      </c>
      <c r="H26" s="252"/>
      <c r="I26" s="252"/>
      <c r="J26" s="264"/>
      <c r="K26" s="252"/>
      <c r="L26" s="252"/>
      <c r="M26" s="252"/>
      <c r="N26" s="568">
        <v>6000</v>
      </c>
      <c r="O26" s="559">
        <v>6000</v>
      </c>
      <c r="P26" s="559">
        <v>6000</v>
      </c>
      <c r="Q26" s="559">
        <v>6000</v>
      </c>
      <c r="R26" s="559">
        <v>6000</v>
      </c>
      <c r="S26" s="253">
        <f t="shared" si="11"/>
        <v>30000</v>
      </c>
      <c r="T26" s="559">
        <v>6000</v>
      </c>
      <c r="U26" s="559">
        <v>6000</v>
      </c>
      <c r="V26" s="559">
        <v>6000</v>
      </c>
      <c r="W26" s="559">
        <v>6000</v>
      </c>
      <c r="X26" s="559">
        <v>6000</v>
      </c>
      <c r="Y26" s="559">
        <v>6000</v>
      </c>
      <c r="Z26" s="559">
        <v>6000</v>
      </c>
      <c r="AA26" s="559">
        <v>6000</v>
      </c>
      <c r="AB26" s="559">
        <v>6000</v>
      </c>
      <c r="AC26" s="559">
        <v>6000</v>
      </c>
      <c r="AD26" s="559">
        <v>6000</v>
      </c>
      <c r="AE26" s="253">
        <f t="shared" si="14"/>
        <v>66000</v>
      </c>
      <c r="AF26" s="256" t="s">
        <v>185</v>
      </c>
      <c r="AI26" s="262"/>
      <c r="AJ26" s="262"/>
      <c r="AK26" s="262"/>
    </row>
    <row r="27" spans="1:39" s="257" customFormat="1" ht="33.75" customHeight="1" x14ac:dyDescent="0.3">
      <c r="A27" s="1081"/>
      <c r="B27" s="1193"/>
      <c r="C27" s="1076"/>
      <c r="D27" s="558" t="s">
        <v>600</v>
      </c>
      <c r="E27" s="254">
        <f t="shared" si="12"/>
        <v>203500</v>
      </c>
      <c r="F27" s="254">
        <v>0</v>
      </c>
      <c r="G27" s="255">
        <f t="shared" si="13"/>
        <v>203500</v>
      </c>
      <c r="H27" s="252"/>
      <c r="I27" s="252"/>
      <c r="J27" s="570"/>
      <c r="K27" s="557">
        <v>5500</v>
      </c>
      <c r="L27" s="557">
        <v>11000</v>
      </c>
      <c r="M27" s="557">
        <v>11000</v>
      </c>
      <c r="N27" s="557">
        <v>11000</v>
      </c>
      <c r="O27" s="557">
        <v>11000</v>
      </c>
      <c r="P27" s="557">
        <v>11000</v>
      </c>
      <c r="Q27" s="557">
        <v>11000</v>
      </c>
      <c r="R27" s="557">
        <v>11000</v>
      </c>
      <c r="S27" s="253">
        <f t="shared" si="11"/>
        <v>82500</v>
      </c>
      <c r="T27" s="557">
        <v>11000</v>
      </c>
      <c r="U27" s="557">
        <v>11000</v>
      </c>
      <c r="V27" s="557">
        <v>11000</v>
      </c>
      <c r="W27" s="557">
        <v>11000</v>
      </c>
      <c r="X27" s="557">
        <v>11000</v>
      </c>
      <c r="Y27" s="557">
        <v>11000</v>
      </c>
      <c r="Z27" s="557">
        <v>11000</v>
      </c>
      <c r="AA27" s="557">
        <v>11000</v>
      </c>
      <c r="AB27" s="557">
        <v>11000</v>
      </c>
      <c r="AC27" s="557">
        <v>11000</v>
      </c>
      <c r="AD27" s="557">
        <v>11000</v>
      </c>
      <c r="AE27" s="253">
        <f t="shared" si="14"/>
        <v>121000</v>
      </c>
      <c r="AF27" s="256" t="s">
        <v>185</v>
      </c>
      <c r="AI27" s="262"/>
      <c r="AJ27" s="262"/>
      <c r="AK27" s="262"/>
    </row>
    <row r="28" spans="1:39" s="257" customFormat="1" ht="35.25" customHeight="1" x14ac:dyDescent="0.3">
      <c r="A28" s="1081"/>
      <c r="B28" s="1193"/>
      <c r="C28" s="1076"/>
      <c r="D28" s="558" t="s">
        <v>601</v>
      </c>
      <c r="E28" s="254">
        <f t="shared" si="12"/>
        <v>111000</v>
      </c>
      <c r="F28" s="254">
        <v>0</v>
      </c>
      <c r="G28" s="255">
        <f t="shared" si="13"/>
        <v>111000</v>
      </c>
      <c r="H28" s="252"/>
      <c r="I28" s="252"/>
      <c r="J28" s="557"/>
      <c r="K28" s="557">
        <v>3000</v>
      </c>
      <c r="L28" s="557">
        <v>6000</v>
      </c>
      <c r="M28" s="557">
        <v>6000</v>
      </c>
      <c r="N28" s="557">
        <v>6000</v>
      </c>
      <c r="O28" s="557">
        <v>6000</v>
      </c>
      <c r="P28" s="557">
        <v>6000</v>
      </c>
      <c r="Q28" s="557">
        <v>6000</v>
      </c>
      <c r="R28" s="557">
        <v>6000</v>
      </c>
      <c r="S28" s="253">
        <f t="shared" si="11"/>
        <v>45000</v>
      </c>
      <c r="T28" s="557">
        <v>6000</v>
      </c>
      <c r="U28" s="557">
        <v>6000</v>
      </c>
      <c r="V28" s="557">
        <v>6000</v>
      </c>
      <c r="W28" s="557">
        <v>6000</v>
      </c>
      <c r="X28" s="557">
        <v>6000</v>
      </c>
      <c r="Y28" s="557">
        <v>6000</v>
      </c>
      <c r="Z28" s="557">
        <v>6000</v>
      </c>
      <c r="AA28" s="557">
        <v>6000</v>
      </c>
      <c r="AB28" s="557">
        <v>6000</v>
      </c>
      <c r="AC28" s="557">
        <v>6000</v>
      </c>
      <c r="AD28" s="557">
        <v>6000</v>
      </c>
      <c r="AE28" s="253">
        <f t="shared" si="14"/>
        <v>66000</v>
      </c>
      <c r="AF28" s="256" t="s">
        <v>185</v>
      </c>
      <c r="AI28" s="262"/>
      <c r="AJ28" s="262"/>
      <c r="AK28" s="262"/>
    </row>
    <row r="29" spans="1:39" s="257" customFormat="1" ht="33.75" customHeight="1" x14ac:dyDescent="0.3">
      <c r="A29" s="1081"/>
      <c r="B29" s="1193"/>
      <c r="C29" s="1076"/>
      <c r="D29" s="563" t="s">
        <v>605</v>
      </c>
      <c r="E29" s="254">
        <f t="shared" si="12"/>
        <v>203500</v>
      </c>
      <c r="F29" s="254">
        <v>0</v>
      </c>
      <c r="G29" s="255">
        <f t="shared" si="13"/>
        <v>203500</v>
      </c>
      <c r="H29" s="252"/>
      <c r="I29" s="252"/>
      <c r="J29" s="562"/>
      <c r="K29" s="562">
        <v>5500</v>
      </c>
      <c r="L29" s="562">
        <v>11000</v>
      </c>
      <c r="M29" s="562">
        <v>11000</v>
      </c>
      <c r="N29" s="562">
        <v>11000</v>
      </c>
      <c r="O29" s="562">
        <v>11000</v>
      </c>
      <c r="P29" s="562">
        <v>11000</v>
      </c>
      <c r="Q29" s="562">
        <v>11000</v>
      </c>
      <c r="R29" s="562">
        <v>11000</v>
      </c>
      <c r="S29" s="253">
        <f t="shared" si="11"/>
        <v>82500</v>
      </c>
      <c r="T29" s="562">
        <v>11000</v>
      </c>
      <c r="U29" s="562">
        <v>11000</v>
      </c>
      <c r="V29" s="562">
        <v>11000</v>
      </c>
      <c r="W29" s="562">
        <v>11000</v>
      </c>
      <c r="X29" s="562">
        <v>11000</v>
      </c>
      <c r="Y29" s="562">
        <v>11000</v>
      </c>
      <c r="Z29" s="562">
        <v>11000</v>
      </c>
      <c r="AA29" s="562">
        <v>11000</v>
      </c>
      <c r="AB29" s="562">
        <v>11000</v>
      </c>
      <c r="AC29" s="562">
        <v>11000</v>
      </c>
      <c r="AD29" s="562">
        <v>11000</v>
      </c>
      <c r="AE29" s="253">
        <f t="shared" si="14"/>
        <v>121000</v>
      </c>
      <c r="AF29" s="256" t="s">
        <v>185</v>
      </c>
      <c r="AI29" s="262"/>
      <c r="AJ29" s="262"/>
      <c r="AK29" s="262"/>
    </row>
    <row r="30" spans="1:39" s="257" customFormat="1" ht="24" customHeight="1" x14ac:dyDescent="0.3">
      <c r="A30" s="1081"/>
      <c r="B30" s="1197"/>
      <c r="C30" s="1077"/>
      <c r="D30" s="563" t="s">
        <v>606</v>
      </c>
      <c r="E30" s="254">
        <f t="shared" si="12"/>
        <v>111000</v>
      </c>
      <c r="F30" s="254">
        <v>0</v>
      </c>
      <c r="G30" s="255">
        <f t="shared" si="13"/>
        <v>111000</v>
      </c>
      <c r="H30" s="252"/>
      <c r="I30" s="252"/>
      <c r="J30" s="562"/>
      <c r="K30" s="562">
        <v>3000</v>
      </c>
      <c r="L30" s="562">
        <v>6000</v>
      </c>
      <c r="M30" s="562">
        <v>6000</v>
      </c>
      <c r="N30" s="562">
        <v>6000</v>
      </c>
      <c r="O30" s="562">
        <v>6000</v>
      </c>
      <c r="P30" s="562">
        <v>6000</v>
      </c>
      <c r="Q30" s="562">
        <v>6000</v>
      </c>
      <c r="R30" s="562">
        <v>6000</v>
      </c>
      <c r="S30" s="253">
        <f t="shared" si="11"/>
        <v>45000</v>
      </c>
      <c r="T30" s="562">
        <v>6000</v>
      </c>
      <c r="U30" s="562">
        <v>6000</v>
      </c>
      <c r="V30" s="562">
        <v>6000</v>
      </c>
      <c r="W30" s="562">
        <v>6000</v>
      </c>
      <c r="X30" s="562">
        <v>6000</v>
      </c>
      <c r="Y30" s="562">
        <v>6000</v>
      </c>
      <c r="Z30" s="562">
        <v>6000</v>
      </c>
      <c r="AA30" s="562">
        <v>6000</v>
      </c>
      <c r="AB30" s="562">
        <v>6000</v>
      </c>
      <c r="AC30" s="562">
        <v>6000</v>
      </c>
      <c r="AD30" s="562">
        <v>6000</v>
      </c>
      <c r="AE30" s="253">
        <f t="shared" si="14"/>
        <v>66000</v>
      </c>
      <c r="AF30" s="256" t="s">
        <v>185</v>
      </c>
      <c r="AI30" s="262"/>
      <c r="AJ30" s="262"/>
      <c r="AK30" s="262"/>
    </row>
    <row r="31" spans="1:39" s="67" customFormat="1" ht="18.75" customHeight="1" x14ac:dyDescent="0.3">
      <c r="A31" s="1081"/>
      <c r="B31" s="1192" t="s">
        <v>3</v>
      </c>
      <c r="C31" s="1075" t="s">
        <v>644</v>
      </c>
      <c r="D31" s="229"/>
      <c r="E31" s="200">
        <f>SUM(E32:E34)</f>
        <v>336220</v>
      </c>
      <c r="F31" s="200">
        <f>SUM(F32:F34)</f>
        <v>0</v>
      </c>
      <c r="G31" s="200">
        <f>SUM(G32:G34)</f>
        <v>336220</v>
      </c>
      <c r="H31" s="230">
        <f>SUM(H32:H34)</f>
        <v>0</v>
      </c>
      <c r="I31" s="230">
        <f t="shared" ref="I31:S31" si="15">SUM(I32:I34)</f>
        <v>3220</v>
      </c>
      <c r="J31" s="230">
        <f t="shared" si="15"/>
        <v>0</v>
      </c>
      <c r="K31" s="230">
        <f t="shared" si="15"/>
        <v>4000</v>
      </c>
      <c r="L31" s="230">
        <f t="shared" si="15"/>
        <v>3000</v>
      </c>
      <c r="M31" s="230">
        <f t="shared" si="15"/>
        <v>0</v>
      </c>
      <c r="N31" s="230">
        <f t="shared" si="15"/>
        <v>33000</v>
      </c>
      <c r="O31" s="230">
        <f t="shared" si="15"/>
        <v>23000</v>
      </c>
      <c r="P31" s="230">
        <f t="shared" si="15"/>
        <v>33000</v>
      </c>
      <c r="Q31" s="230">
        <f t="shared" si="15"/>
        <v>23000</v>
      </c>
      <c r="R31" s="230">
        <f t="shared" si="15"/>
        <v>25000</v>
      </c>
      <c r="S31" s="230">
        <f t="shared" si="15"/>
        <v>147220</v>
      </c>
      <c r="T31" s="230">
        <f>SUM(T32:T34)</f>
        <v>11000</v>
      </c>
      <c r="U31" s="230">
        <f t="shared" ref="U31:AD31" si="16">SUM(U32:U34)</f>
        <v>17000</v>
      </c>
      <c r="V31" s="230">
        <f t="shared" si="16"/>
        <v>17000</v>
      </c>
      <c r="W31" s="230">
        <f t="shared" si="16"/>
        <v>17000</v>
      </c>
      <c r="X31" s="230">
        <f t="shared" si="16"/>
        <v>23000</v>
      </c>
      <c r="Y31" s="230">
        <f t="shared" si="16"/>
        <v>17000</v>
      </c>
      <c r="Z31" s="230">
        <f t="shared" si="16"/>
        <v>23000</v>
      </c>
      <c r="AA31" s="230">
        <f t="shared" si="16"/>
        <v>15000</v>
      </c>
      <c r="AB31" s="230">
        <f t="shared" si="16"/>
        <v>23000</v>
      </c>
      <c r="AC31" s="230">
        <f t="shared" si="16"/>
        <v>15000</v>
      </c>
      <c r="AD31" s="230">
        <f t="shared" si="16"/>
        <v>11000</v>
      </c>
      <c r="AE31" s="230">
        <f>SUM(AE32:AE34)</f>
        <v>189000</v>
      </c>
      <c r="AF31" s="231" t="s">
        <v>185</v>
      </c>
      <c r="AI31" s="263"/>
      <c r="AJ31" s="263"/>
      <c r="AK31" s="263"/>
    </row>
    <row r="32" spans="1:39" ht="25.5" customHeight="1" x14ac:dyDescent="0.3">
      <c r="A32" s="1081"/>
      <c r="B32" s="1193"/>
      <c r="C32" s="1076"/>
      <c r="D32" s="2" t="s">
        <v>119</v>
      </c>
      <c r="E32" s="23">
        <f>+S32+AE32</f>
        <v>110220</v>
      </c>
      <c r="F32" s="23">
        <v>0</v>
      </c>
      <c r="G32" s="82">
        <f>+E32+F32</f>
        <v>110220</v>
      </c>
      <c r="H32" s="73"/>
      <c r="I32" s="81">
        <v>3220</v>
      </c>
      <c r="J32" s="73"/>
      <c r="K32" s="73">
        <v>4000</v>
      </c>
      <c r="L32" s="73">
        <v>3000</v>
      </c>
      <c r="M32" s="73"/>
      <c r="N32" s="569">
        <v>12000</v>
      </c>
      <c r="O32" s="73">
        <v>12000</v>
      </c>
      <c r="P32" s="73">
        <v>12000</v>
      </c>
      <c r="Q32" s="73">
        <v>12000</v>
      </c>
      <c r="R32" s="73">
        <v>4000</v>
      </c>
      <c r="S32" s="74">
        <f>SUM(H32:R32)</f>
        <v>62220</v>
      </c>
      <c r="T32" s="73"/>
      <c r="U32" s="73">
        <v>6000</v>
      </c>
      <c r="V32" s="73">
        <v>6000</v>
      </c>
      <c r="W32" s="73">
        <v>6000</v>
      </c>
      <c r="X32" s="73">
        <v>6000</v>
      </c>
      <c r="Y32" s="73">
        <v>6000</v>
      </c>
      <c r="Z32" s="73">
        <v>6000</v>
      </c>
      <c r="AA32" s="73">
        <v>4000</v>
      </c>
      <c r="AB32" s="73">
        <v>4000</v>
      </c>
      <c r="AC32" s="73">
        <v>4000</v>
      </c>
      <c r="AD32" s="73"/>
      <c r="AE32" s="74">
        <f>SUM(T32:AD32)</f>
        <v>48000</v>
      </c>
      <c r="AF32" s="24" t="s">
        <v>185</v>
      </c>
    </row>
    <row r="33" spans="1:37" ht="56.25" customHeight="1" x14ac:dyDescent="0.3">
      <c r="A33" s="1081"/>
      <c r="B33" s="1193"/>
      <c r="C33" s="1076"/>
      <c r="D33" s="2" t="s">
        <v>120</v>
      </c>
      <c r="E33" s="23">
        <f>+S33+AE33</f>
        <v>50000</v>
      </c>
      <c r="F33" s="23">
        <v>0</v>
      </c>
      <c r="G33" s="82">
        <f>+E33+F33</f>
        <v>50000</v>
      </c>
      <c r="H33" s="73"/>
      <c r="I33" s="73"/>
      <c r="J33" s="73"/>
      <c r="K33" s="73"/>
      <c r="L33" s="73"/>
      <c r="M33" s="73"/>
      <c r="N33" s="569">
        <v>10000</v>
      </c>
      <c r="O33" s="73"/>
      <c r="P33" s="73">
        <v>10000</v>
      </c>
      <c r="Q33" s="73"/>
      <c r="R33" s="73">
        <v>10000</v>
      </c>
      <c r="S33" s="74">
        <f>SUM(H33:R33)</f>
        <v>30000</v>
      </c>
      <c r="T33" s="73"/>
      <c r="U33" s="73"/>
      <c r="V33" s="73"/>
      <c r="W33" s="73"/>
      <c r="X33" s="73">
        <v>6000</v>
      </c>
      <c r="Y33" s="73"/>
      <c r="Z33" s="73">
        <v>6000</v>
      </c>
      <c r="AA33" s="73"/>
      <c r="AB33" s="73">
        <v>8000</v>
      </c>
      <c r="AC33" s="73"/>
      <c r="AD33" s="73"/>
      <c r="AE33" s="74">
        <f>SUM(T33:AD33)</f>
        <v>20000</v>
      </c>
      <c r="AF33" s="24" t="s">
        <v>185</v>
      </c>
    </row>
    <row r="34" spans="1:37" s="257" customFormat="1" ht="33.75" customHeight="1" x14ac:dyDescent="0.3">
      <c r="A34" s="1081"/>
      <c r="B34" s="1197"/>
      <c r="C34" s="1077"/>
      <c r="D34" s="563" t="s">
        <v>605</v>
      </c>
      <c r="E34" s="254">
        <f>+S34+AE34</f>
        <v>176000</v>
      </c>
      <c r="F34" s="254">
        <v>0</v>
      </c>
      <c r="G34" s="255">
        <f>+E34+F34</f>
        <v>176000</v>
      </c>
      <c r="H34" s="252"/>
      <c r="I34" s="252"/>
      <c r="J34" s="562"/>
      <c r="K34" s="562"/>
      <c r="L34" s="562"/>
      <c r="M34" s="562"/>
      <c r="N34" s="562">
        <v>11000</v>
      </c>
      <c r="O34" s="562">
        <v>11000</v>
      </c>
      <c r="P34" s="562">
        <v>11000</v>
      </c>
      <c r="Q34" s="562">
        <v>11000</v>
      </c>
      <c r="R34" s="562">
        <v>11000</v>
      </c>
      <c r="S34" s="253">
        <f>SUM(H34:R34)</f>
        <v>55000</v>
      </c>
      <c r="T34" s="562">
        <v>11000</v>
      </c>
      <c r="U34" s="562">
        <v>11000</v>
      </c>
      <c r="V34" s="562">
        <v>11000</v>
      </c>
      <c r="W34" s="562">
        <v>11000</v>
      </c>
      <c r="X34" s="562">
        <v>11000</v>
      </c>
      <c r="Y34" s="562">
        <v>11000</v>
      </c>
      <c r="Z34" s="562">
        <v>11000</v>
      </c>
      <c r="AA34" s="562">
        <v>11000</v>
      </c>
      <c r="AB34" s="562">
        <v>11000</v>
      </c>
      <c r="AC34" s="562">
        <v>11000</v>
      </c>
      <c r="AD34" s="562">
        <v>11000</v>
      </c>
      <c r="AE34" s="253">
        <f>SUM(T34:AD34)</f>
        <v>121000</v>
      </c>
      <c r="AF34" s="256" t="s">
        <v>185</v>
      </c>
      <c r="AI34" s="262"/>
      <c r="AJ34" s="262"/>
      <c r="AK34" s="262"/>
    </row>
    <row r="35" spans="1:37" s="67" customFormat="1" ht="18.75" customHeight="1" x14ac:dyDescent="0.3">
      <c r="A35" s="1081"/>
      <c r="B35" s="1202" t="s">
        <v>4</v>
      </c>
      <c r="C35" s="1094" t="s">
        <v>391</v>
      </c>
      <c r="D35" s="229"/>
      <c r="E35" s="200">
        <f>SUM(E36)</f>
        <v>300000</v>
      </c>
      <c r="F35" s="200">
        <f t="shared" ref="F35:AF35" si="17">SUM(F36)</f>
        <v>0</v>
      </c>
      <c r="G35" s="200">
        <f t="shared" si="17"/>
        <v>300000</v>
      </c>
      <c r="H35" s="200">
        <f t="shared" si="17"/>
        <v>0</v>
      </c>
      <c r="I35" s="200">
        <f t="shared" si="17"/>
        <v>0</v>
      </c>
      <c r="J35" s="200">
        <f t="shared" si="17"/>
        <v>0</v>
      </c>
      <c r="K35" s="200">
        <f t="shared" si="17"/>
        <v>0</v>
      </c>
      <c r="L35" s="200">
        <f t="shared" si="17"/>
        <v>0</v>
      </c>
      <c r="M35" s="200">
        <f t="shared" si="17"/>
        <v>0</v>
      </c>
      <c r="N35" s="200">
        <f t="shared" si="17"/>
        <v>0</v>
      </c>
      <c r="O35" s="200">
        <f t="shared" si="17"/>
        <v>72863.5</v>
      </c>
      <c r="P35" s="200">
        <f t="shared" si="17"/>
        <v>0</v>
      </c>
      <c r="Q35" s="200">
        <f t="shared" si="17"/>
        <v>0</v>
      </c>
      <c r="R35" s="200">
        <f t="shared" si="17"/>
        <v>0</v>
      </c>
      <c r="S35" s="200">
        <f t="shared" si="17"/>
        <v>72863.5</v>
      </c>
      <c r="T35" s="200">
        <f t="shared" si="17"/>
        <v>0</v>
      </c>
      <c r="U35" s="200">
        <f t="shared" si="17"/>
        <v>0</v>
      </c>
      <c r="V35" s="200">
        <f t="shared" si="17"/>
        <v>77136.5</v>
      </c>
      <c r="W35" s="200">
        <f t="shared" si="17"/>
        <v>0</v>
      </c>
      <c r="X35" s="200">
        <f t="shared" si="17"/>
        <v>0</v>
      </c>
      <c r="Y35" s="200">
        <f t="shared" si="17"/>
        <v>150000</v>
      </c>
      <c r="Z35" s="200">
        <f t="shared" si="17"/>
        <v>0</v>
      </c>
      <c r="AA35" s="200">
        <f t="shared" si="17"/>
        <v>0</v>
      </c>
      <c r="AB35" s="200">
        <f t="shared" si="17"/>
        <v>0</v>
      </c>
      <c r="AC35" s="200">
        <f t="shared" si="17"/>
        <v>0</v>
      </c>
      <c r="AD35" s="200">
        <f t="shared" si="17"/>
        <v>0</v>
      </c>
      <c r="AE35" s="200">
        <f t="shared" si="17"/>
        <v>227136.5</v>
      </c>
      <c r="AF35" s="200">
        <f t="shared" si="17"/>
        <v>0</v>
      </c>
      <c r="AJ35" s="263"/>
      <c r="AK35" s="263"/>
    </row>
    <row r="36" spans="1:37" ht="77.25" customHeight="1" x14ac:dyDescent="0.3">
      <c r="A36" s="1081"/>
      <c r="B36" s="1202"/>
      <c r="C36" s="1094"/>
      <c r="D36" s="2" t="s">
        <v>179</v>
      </c>
      <c r="E36" s="23">
        <f>+S36+AE36</f>
        <v>300000</v>
      </c>
      <c r="F36" s="23">
        <v>0</v>
      </c>
      <c r="G36" s="82">
        <f>+E36+F36</f>
        <v>300000</v>
      </c>
      <c r="H36" s="73"/>
      <c r="I36" s="73"/>
      <c r="J36" s="73"/>
      <c r="K36" s="73"/>
      <c r="L36" s="73"/>
      <c r="M36" s="73"/>
      <c r="N36" s="73"/>
      <c r="O36" s="73">
        <f>150000-77136.5</f>
        <v>72863.5</v>
      </c>
      <c r="P36" s="73"/>
      <c r="Q36" s="73"/>
      <c r="R36" s="73"/>
      <c r="S36" s="74">
        <f>SUM(H36:R36)</f>
        <v>72863.5</v>
      </c>
      <c r="T36" s="73"/>
      <c r="U36" s="73"/>
      <c r="V36" s="73">
        <v>77136.5</v>
      </c>
      <c r="W36" s="73"/>
      <c r="X36" s="73"/>
      <c r="Y36" s="73">
        <v>150000</v>
      </c>
      <c r="Z36" s="73"/>
      <c r="AA36" s="73"/>
      <c r="AB36" s="73"/>
      <c r="AC36" s="73"/>
      <c r="AD36" s="73"/>
      <c r="AE36" s="74">
        <f>SUM(T36:AD36)</f>
        <v>227136.5</v>
      </c>
      <c r="AF36" s="24" t="s">
        <v>185</v>
      </c>
    </row>
    <row r="37" spans="1:37" s="67" customFormat="1" ht="18" customHeight="1" x14ac:dyDescent="0.3">
      <c r="A37" s="1081"/>
      <c r="B37" s="1202" t="s">
        <v>8</v>
      </c>
      <c r="C37" s="1094" t="s">
        <v>392</v>
      </c>
      <c r="D37" s="229"/>
      <c r="E37" s="204">
        <f>SUM(E38)</f>
        <v>0</v>
      </c>
      <c r="F37" s="204">
        <f t="shared" ref="F37:AF37" si="18">SUM(F38)</f>
        <v>300000</v>
      </c>
      <c r="G37" s="200">
        <f t="shared" si="18"/>
        <v>300000</v>
      </c>
      <c r="H37" s="200">
        <f t="shared" si="18"/>
        <v>0</v>
      </c>
      <c r="I37" s="200">
        <f t="shared" si="18"/>
        <v>0</v>
      </c>
      <c r="J37" s="200">
        <f t="shared" si="18"/>
        <v>0</v>
      </c>
      <c r="K37" s="200">
        <f t="shared" si="18"/>
        <v>0</v>
      </c>
      <c r="L37" s="200">
        <f t="shared" si="18"/>
        <v>0</v>
      </c>
      <c r="M37" s="200">
        <f t="shared" si="18"/>
        <v>0</v>
      </c>
      <c r="N37" s="200">
        <f t="shared" si="18"/>
        <v>0</v>
      </c>
      <c r="O37" s="200">
        <f t="shared" si="18"/>
        <v>150000</v>
      </c>
      <c r="P37" s="200">
        <f t="shared" si="18"/>
        <v>0</v>
      </c>
      <c r="Q37" s="200">
        <f t="shared" si="18"/>
        <v>0</v>
      </c>
      <c r="R37" s="200">
        <f t="shared" si="18"/>
        <v>0</v>
      </c>
      <c r="S37" s="200">
        <f t="shared" si="18"/>
        <v>150000</v>
      </c>
      <c r="T37" s="200">
        <f t="shared" si="18"/>
        <v>0</v>
      </c>
      <c r="U37" s="200">
        <f t="shared" si="18"/>
        <v>0</v>
      </c>
      <c r="V37" s="200">
        <f t="shared" si="18"/>
        <v>0</v>
      </c>
      <c r="W37" s="200">
        <f t="shared" si="18"/>
        <v>0</v>
      </c>
      <c r="X37" s="200">
        <f t="shared" si="18"/>
        <v>0</v>
      </c>
      <c r="Y37" s="200">
        <f t="shared" si="18"/>
        <v>150000</v>
      </c>
      <c r="Z37" s="200">
        <f t="shared" si="18"/>
        <v>0</v>
      </c>
      <c r="AA37" s="200">
        <f t="shared" si="18"/>
        <v>0</v>
      </c>
      <c r="AB37" s="200">
        <f t="shared" si="18"/>
        <v>0</v>
      </c>
      <c r="AC37" s="200">
        <f t="shared" si="18"/>
        <v>0</v>
      </c>
      <c r="AD37" s="200">
        <f t="shared" si="18"/>
        <v>0</v>
      </c>
      <c r="AE37" s="200">
        <f t="shared" si="18"/>
        <v>150000</v>
      </c>
      <c r="AF37" s="200">
        <f t="shared" si="18"/>
        <v>0</v>
      </c>
      <c r="AI37" s="263"/>
      <c r="AJ37" s="263"/>
      <c r="AK37" s="263"/>
    </row>
    <row r="38" spans="1:37" ht="97.5" customHeight="1" x14ac:dyDescent="0.3">
      <c r="A38" s="1082"/>
      <c r="B38" s="1202"/>
      <c r="C38" s="1094"/>
      <c r="D38" s="2" t="s">
        <v>180</v>
      </c>
      <c r="E38" s="23"/>
      <c r="F38" s="23">
        <f>+S38+AE38</f>
        <v>300000</v>
      </c>
      <c r="G38" s="82">
        <f>+E38+F38</f>
        <v>300000</v>
      </c>
      <c r="H38" s="73"/>
      <c r="I38" s="73"/>
      <c r="J38" s="73"/>
      <c r="K38" s="73"/>
      <c r="L38" s="73"/>
      <c r="M38" s="73"/>
      <c r="N38" s="73"/>
      <c r="O38" s="73">
        <v>150000</v>
      </c>
      <c r="P38" s="73"/>
      <c r="Q38" s="73"/>
      <c r="R38" s="73"/>
      <c r="S38" s="643">
        <f>SUM(H38:R38)</f>
        <v>150000</v>
      </c>
      <c r="T38" s="73"/>
      <c r="U38" s="73"/>
      <c r="V38" s="73"/>
      <c r="W38" s="73"/>
      <c r="X38" s="73"/>
      <c r="Y38" s="73">
        <v>150000</v>
      </c>
      <c r="Z38" s="73"/>
      <c r="AA38" s="73"/>
      <c r="AB38" s="73"/>
      <c r="AC38" s="73"/>
      <c r="AD38" s="73"/>
      <c r="AE38" s="74">
        <f>SUM(T38:AD38)</f>
        <v>150000</v>
      </c>
      <c r="AF38" s="24" t="s">
        <v>185</v>
      </c>
    </row>
    <row r="39" spans="1:37" s="67" customFormat="1" ht="34.5" customHeight="1" x14ac:dyDescent="0.3">
      <c r="A39" s="1063" t="s">
        <v>186</v>
      </c>
      <c r="B39" s="1064"/>
      <c r="C39" s="1064"/>
      <c r="D39" s="1064"/>
      <c r="E39" s="1064"/>
      <c r="F39" s="1064"/>
      <c r="G39" s="1065"/>
      <c r="H39" s="220"/>
      <c r="I39" s="220"/>
      <c r="J39" s="220"/>
      <c r="K39" s="220"/>
      <c r="L39" s="220"/>
      <c r="M39" s="220"/>
      <c r="N39" s="220"/>
      <c r="O39" s="220"/>
      <c r="P39" s="220"/>
      <c r="Q39" s="220"/>
      <c r="R39" s="220"/>
      <c r="S39" s="213"/>
      <c r="T39" s="220"/>
      <c r="U39" s="220"/>
      <c r="V39" s="220"/>
      <c r="W39" s="220"/>
      <c r="X39" s="220"/>
      <c r="Y39" s="220"/>
      <c r="Z39" s="220"/>
      <c r="AA39" s="220"/>
      <c r="AB39" s="220"/>
      <c r="AC39" s="220"/>
      <c r="AD39" s="220"/>
      <c r="AE39" s="213"/>
      <c r="AF39" s="221"/>
      <c r="AI39" s="263"/>
      <c r="AJ39" s="263"/>
      <c r="AK39" s="263"/>
    </row>
    <row r="40" spans="1:37" ht="37.5" customHeight="1" x14ac:dyDescent="0.3">
      <c r="A40" s="1194" t="s">
        <v>111</v>
      </c>
      <c r="B40" s="1195"/>
      <c r="C40" s="1195"/>
      <c r="D40" s="1195"/>
      <c r="E40" s="1195"/>
      <c r="F40" s="1195"/>
      <c r="G40" s="1196"/>
      <c r="H40" s="222"/>
      <c r="I40" s="222"/>
      <c r="J40" s="222"/>
      <c r="K40" s="222"/>
      <c r="L40" s="222"/>
      <c r="M40" s="222"/>
      <c r="N40" s="222"/>
      <c r="O40" s="222"/>
      <c r="P40" s="222"/>
      <c r="Q40" s="222"/>
      <c r="R40" s="222"/>
      <c r="S40" s="222"/>
      <c r="T40" s="222"/>
      <c r="U40" s="222"/>
      <c r="V40" s="222"/>
      <c r="W40" s="222"/>
      <c r="X40" s="222"/>
      <c r="Y40" s="222"/>
      <c r="Z40" s="222"/>
      <c r="AA40" s="222"/>
      <c r="AB40" s="222"/>
      <c r="AC40" s="222"/>
      <c r="AD40" s="222"/>
      <c r="AE40" s="222"/>
      <c r="AF40" s="223"/>
    </row>
    <row r="41" spans="1:37" ht="15" customHeight="1" x14ac:dyDescent="0.3">
      <c r="A41" s="1080" t="s">
        <v>592</v>
      </c>
      <c r="B41" s="40"/>
      <c r="C41" s="108"/>
      <c r="D41" s="108"/>
      <c r="E41" s="70">
        <f>+E42+E46</f>
        <v>912500</v>
      </c>
      <c r="F41" s="70">
        <f>+F42+F46</f>
        <v>0</v>
      </c>
      <c r="G41" s="70">
        <f t="shared" ref="G41:AE41" si="19">+G42+G46</f>
        <v>912500</v>
      </c>
      <c r="H41" s="70">
        <f t="shared" si="19"/>
        <v>22000</v>
      </c>
      <c r="I41" s="70">
        <f t="shared" si="19"/>
        <v>22000</v>
      </c>
      <c r="J41" s="70">
        <f t="shared" si="19"/>
        <v>11000</v>
      </c>
      <c r="K41" s="70">
        <f t="shared" si="19"/>
        <v>76500</v>
      </c>
      <c r="L41" s="70">
        <f t="shared" si="19"/>
        <v>22000</v>
      </c>
      <c r="M41" s="70">
        <f t="shared" si="19"/>
        <v>22000</v>
      </c>
      <c r="N41" s="70">
        <f t="shared" si="19"/>
        <v>122000</v>
      </c>
      <c r="O41" s="70">
        <f t="shared" si="19"/>
        <v>52000</v>
      </c>
      <c r="P41" s="70">
        <f t="shared" si="19"/>
        <v>42000</v>
      </c>
      <c r="Q41" s="70">
        <f t="shared" si="19"/>
        <v>102000</v>
      </c>
      <c r="R41" s="70">
        <f t="shared" si="19"/>
        <v>22000</v>
      </c>
      <c r="S41" s="70">
        <f t="shared" si="19"/>
        <v>515500</v>
      </c>
      <c r="T41" s="70">
        <f t="shared" si="19"/>
        <v>17000</v>
      </c>
      <c r="U41" s="70">
        <f t="shared" si="19"/>
        <v>37000</v>
      </c>
      <c r="V41" s="70">
        <f t="shared" si="19"/>
        <v>37000</v>
      </c>
      <c r="W41" s="70">
        <f t="shared" si="19"/>
        <v>97000</v>
      </c>
      <c r="X41" s="70">
        <f t="shared" si="19"/>
        <v>27000</v>
      </c>
      <c r="Y41" s="70">
        <f t="shared" si="19"/>
        <v>27000</v>
      </c>
      <c r="Z41" s="70">
        <f t="shared" si="19"/>
        <v>27000</v>
      </c>
      <c r="AA41" s="70">
        <f t="shared" si="19"/>
        <v>27000</v>
      </c>
      <c r="AB41" s="70">
        <f t="shared" si="19"/>
        <v>67000</v>
      </c>
      <c r="AC41" s="70">
        <f t="shared" si="19"/>
        <v>17000</v>
      </c>
      <c r="AD41" s="70">
        <f t="shared" si="19"/>
        <v>17000</v>
      </c>
      <c r="AE41" s="70">
        <f t="shared" si="19"/>
        <v>397000</v>
      </c>
      <c r="AF41" s="40" t="s">
        <v>185</v>
      </c>
    </row>
    <row r="42" spans="1:37" x14ac:dyDescent="0.3">
      <c r="A42" s="1081"/>
      <c r="B42" s="1192" t="s">
        <v>2</v>
      </c>
      <c r="C42" s="1075" t="s">
        <v>184</v>
      </c>
      <c r="D42" s="206"/>
      <c r="E42" s="207">
        <f>SUM(E43:E45)</f>
        <v>412500</v>
      </c>
      <c r="F42" s="207">
        <f>SUM(F43:F45)</f>
        <v>0</v>
      </c>
      <c r="G42" s="207">
        <f t="shared" ref="G42:G47" si="20">+E42+F42</f>
        <v>412500</v>
      </c>
      <c r="H42" s="207">
        <f>SUM(H43:H45)</f>
        <v>22000</v>
      </c>
      <c r="I42" s="207">
        <f t="shared" ref="I42:AE42" si="21">SUM(I43:I45)</f>
        <v>22000</v>
      </c>
      <c r="J42" s="207">
        <f t="shared" si="21"/>
        <v>11000</v>
      </c>
      <c r="K42" s="207">
        <f>SUM(K43:K45)</f>
        <v>16500</v>
      </c>
      <c r="L42" s="207">
        <f t="shared" si="21"/>
        <v>22000</v>
      </c>
      <c r="M42" s="207">
        <f t="shared" si="21"/>
        <v>22000</v>
      </c>
      <c r="N42" s="207">
        <f t="shared" si="21"/>
        <v>22000</v>
      </c>
      <c r="O42" s="207">
        <f t="shared" si="21"/>
        <v>22000</v>
      </c>
      <c r="P42" s="207">
        <f t="shared" si="21"/>
        <v>22000</v>
      </c>
      <c r="Q42" s="207">
        <f t="shared" si="21"/>
        <v>22000</v>
      </c>
      <c r="R42" s="207">
        <f t="shared" si="21"/>
        <v>22000</v>
      </c>
      <c r="S42" s="207">
        <f t="shared" si="21"/>
        <v>225500</v>
      </c>
      <c r="T42" s="207">
        <f t="shared" si="21"/>
        <v>17000</v>
      </c>
      <c r="U42" s="207">
        <f t="shared" si="21"/>
        <v>17000</v>
      </c>
      <c r="V42" s="207">
        <f t="shared" si="21"/>
        <v>17000</v>
      </c>
      <c r="W42" s="207">
        <f t="shared" si="21"/>
        <v>17000</v>
      </c>
      <c r="X42" s="207">
        <f t="shared" si="21"/>
        <v>17000</v>
      </c>
      <c r="Y42" s="207">
        <f t="shared" si="21"/>
        <v>17000</v>
      </c>
      <c r="Z42" s="207">
        <f t="shared" si="21"/>
        <v>17000</v>
      </c>
      <c r="AA42" s="207">
        <f t="shared" si="21"/>
        <v>17000</v>
      </c>
      <c r="AB42" s="207">
        <f t="shared" si="21"/>
        <v>17000</v>
      </c>
      <c r="AC42" s="207">
        <f t="shared" si="21"/>
        <v>17000</v>
      </c>
      <c r="AD42" s="207">
        <f t="shared" si="21"/>
        <v>17000</v>
      </c>
      <c r="AE42" s="207">
        <f t="shared" si="21"/>
        <v>187000</v>
      </c>
      <c r="AF42" s="211" t="s">
        <v>185</v>
      </c>
    </row>
    <row r="43" spans="1:37" s="258" customFormat="1" ht="30.75" customHeight="1" x14ac:dyDescent="0.3">
      <c r="A43" s="1081"/>
      <c r="B43" s="1193"/>
      <c r="C43" s="1076"/>
      <c r="D43" s="197" t="s">
        <v>177</v>
      </c>
      <c r="E43" s="254">
        <f>+S43+AE43</f>
        <v>143000</v>
      </c>
      <c r="F43" s="254">
        <v>0</v>
      </c>
      <c r="G43" s="255">
        <f t="shared" si="20"/>
        <v>143000</v>
      </c>
      <c r="H43" s="559">
        <v>22000</v>
      </c>
      <c r="I43" s="559">
        <v>22000</v>
      </c>
      <c r="J43" s="559">
        <v>11000</v>
      </c>
      <c r="K43" s="559">
        <v>11000</v>
      </c>
      <c r="L43" s="559">
        <v>11000</v>
      </c>
      <c r="M43" s="559">
        <v>11000</v>
      </c>
      <c r="N43" s="559">
        <v>11000</v>
      </c>
      <c r="O43" s="559">
        <v>11000</v>
      </c>
      <c r="P43" s="559">
        <v>11000</v>
      </c>
      <c r="Q43" s="559">
        <v>11000</v>
      </c>
      <c r="R43" s="559">
        <v>11000</v>
      </c>
      <c r="S43" s="253">
        <f>SUM(H43:R43)</f>
        <v>143000</v>
      </c>
      <c r="T43" s="252"/>
      <c r="U43" s="252"/>
      <c r="V43" s="252"/>
      <c r="W43" s="252"/>
      <c r="X43" s="252"/>
      <c r="Y43" s="252"/>
      <c r="Z43" s="252"/>
      <c r="AA43" s="252"/>
      <c r="AB43" s="252"/>
      <c r="AC43" s="252"/>
      <c r="AD43" s="252"/>
      <c r="AE43" s="253">
        <f>SUM(T43:AD43)</f>
        <v>0</v>
      </c>
      <c r="AF43" s="256" t="s">
        <v>185</v>
      </c>
      <c r="AI43" s="261"/>
      <c r="AJ43" s="261"/>
      <c r="AK43" s="261"/>
    </row>
    <row r="44" spans="1:37" s="258" customFormat="1" ht="32.25" customHeight="1" x14ac:dyDescent="0.3">
      <c r="A44" s="1081"/>
      <c r="B44" s="1193"/>
      <c r="C44" s="1076"/>
      <c r="D44" s="563" t="s">
        <v>607</v>
      </c>
      <c r="E44" s="254">
        <f>+S44+AE44</f>
        <v>203500</v>
      </c>
      <c r="F44" s="254">
        <v>0</v>
      </c>
      <c r="G44" s="255">
        <f t="shared" si="20"/>
        <v>203500</v>
      </c>
      <c r="H44" s="252"/>
      <c r="I44" s="252"/>
      <c r="J44" s="562"/>
      <c r="K44" s="562">
        <v>5500</v>
      </c>
      <c r="L44" s="562">
        <v>11000</v>
      </c>
      <c r="M44" s="562">
        <v>11000</v>
      </c>
      <c r="N44" s="562">
        <v>11000</v>
      </c>
      <c r="O44" s="562">
        <v>11000</v>
      </c>
      <c r="P44" s="562">
        <v>11000</v>
      </c>
      <c r="Q44" s="562">
        <v>11000</v>
      </c>
      <c r="R44" s="562">
        <v>11000</v>
      </c>
      <c r="S44" s="253">
        <f>SUM(H44:R44)</f>
        <v>82500</v>
      </c>
      <c r="T44" s="562">
        <v>11000</v>
      </c>
      <c r="U44" s="562">
        <v>11000</v>
      </c>
      <c r="V44" s="562">
        <v>11000</v>
      </c>
      <c r="W44" s="562">
        <v>11000</v>
      </c>
      <c r="X44" s="562">
        <v>11000</v>
      </c>
      <c r="Y44" s="562">
        <v>11000</v>
      </c>
      <c r="Z44" s="562">
        <v>11000</v>
      </c>
      <c r="AA44" s="562">
        <v>11000</v>
      </c>
      <c r="AB44" s="562">
        <v>11000</v>
      </c>
      <c r="AC44" s="562">
        <v>11000</v>
      </c>
      <c r="AD44" s="562">
        <v>11000</v>
      </c>
      <c r="AE44" s="253">
        <f>SUM(T44:AD44)</f>
        <v>121000</v>
      </c>
      <c r="AF44" s="256" t="s">
        <v>185</v>
      </c>
      <c r="AJ44" s="261"/>
      <c r="AK44" s="261"/>
    </row>
    <row r="45" spans="1:37" s="258" customFormat="1" ht="29.25" customHeight="1" x14ac:dyDescent="0.3">
      <c r="A45" s="1081"/>
      <c r="B45" s="1197"/>
      <c r="C45" s="1077"/>
      <c r="D45" s="197" t="s">
        <v>599</v>
      </c>
      <c r="E45" s="254">
        <f>+S45+AE45</f>
        <v>66000</v>
      </c>
      <c r="F45" s="254">
        <v>0</v>
      </c>
      <c r="G45" s="255">
        <f t="shared" si="20"/>
        <v>66000</v>
      </c>
      <c r="H45" s="252"/>
      <c r="I45" s="252"/>
      <c r="J45" s="61"/>
      <c r="K45" s="61"/>
      <c r="L45" s="61"/>
      <c r="M45" s="61"/>
      <c r="N45" s="61"/>
      <c r="O45" s="61"/>
      <c r="P45" s="61"/>
      <c r="Q45" s="61"/>
      <c r="R45" s="61"/>
      <c r="S45" s="253">
        <f>SUM(H45:R45)</f>
        <v>0</v>
      </c>
      <c r="T45" s="557">
        <v>6000</v>
      </c>
      <c r="U45" s="557">
        <v>6000</v>
      </c>
      <c r="V45" s="557">
        <v>6000</v>
      </c>
      <c r="W45" s="557">
        <v>6000</v>
      </c>
      <c r="X45" s="557">
        <v>6000</v>
      </c>
      <c r="Y45" s="557">
        <v>6000</v>
      </c>
      <c r="Z45" s="557">
        <v>6000</v>
      </c>
      <c r="AA45" s="557">
        <v>6000</v>
      </c>
      <c r="AB45" s="557">
        <v>6000</v>
      </c>
      <c r="AC45" s="557">
        <v>6000</v>
      </c>
      <c r="AD45" s="557">
        <v>6000</v>
      </c>
      <c r="AE45" s="253">
        <f>SUM(T45:AD45)</f>
        <v>66000</v>
      </c>
      <c r="AF45" s="256" t="s">
        <v>185</v>
      </c>
      <c r="AJ45" s="261"/>
      <c r="AK45" s="261"/>
    </row>
    <row r="46" spans="1:37" x14ac:dyDescent="0.3">
      <c r="A46" s="1081"/>
      <c r="B46" s="1192" t="s">
        <v>3</v>
      </c>
      <c r="C46" s="1075" t="s">
        <v>594</v>
      </c>
      <c r="D46" s="206"/>
      <c r="E46" s="207">
        <f>SUM(E47:E47)</f>
        <v>500000</v>
      </c>
      <c r="F46" s="207">
        <f>SUM(F47:F47)</f>
        <v>0</v>
      </c>
      <c r="G46" s="207">
        <f t="shared" si="20"/>
        <v>500000</v>
      </c>
      <c r="H46" s="207">
        <f t="shared" ref="H46:AE46" si="22">SUM(H47:H47)</f>
        <v>0</v>
      </c>
      <c r="I46" s="207">
        <f t="shared" si="22"/>
        <v>0</v>
      </c>
      <c r="J46" s="207">
        <f t="shared" si="22"/>
        <v>0</v>
      </c>
      <c r="K46" s="207">
        <f t="shared" si="22"/>
        <v>60000</v>
      </c>
      <c r="L46" s="207">
        <f t="shared" si="22"/>
        <v>0</v>
      </c>
      <c r="M46" s="207">
        <f t="shared" si="22"/>
        <v>0</v>
      </c>
      <c r="N46" s="207">
        <f t="shared" si="22"/>
        <v>100000</v>
      </c>
      <c r="O46" s="207">
        <f t="shared" si="22"/>
        <v>30000</v>
      </c>
      <c r="P46" s="207">
        <f t="shared" si="22"/>
        <v>20000</v>
      </c>
      <c r="Q46" s="207">
        <f t="shared" si="22"/>
        <v>80000</v>
      </c>
      <c r="R46" s="207">
        <f t="shared" si="22"/>
        <v>0</v>
      </c>
      <c r="S46" s="207">
        <f t="shared" si="22"/>
        <v>290000</v>
      </c>
      <c r="T46" s="207">
        <f t="shared" si="22"/>
        <v>0</v>
      </c>
      <c r="U46" s="207">
        <f t="shared" si="22"/>
        <v>20000</v>
      </c>
      <c r="V46" s="207">
        <f t="shared" si="22"/>
        <v>20000</v>
      </c>
      <c r="W46" s="207">
        <f t="shared" si="22"/>
        <v>80000</v>
      </c>
      <c r="X46" s="207">
        <f t="shared" si="22"/>
        <v>10000</v>
      </c>
      <c r="Y46" s="207">
        <f t="shared" si="22"/>
        <v>10000</v>
      </c>
      <c r="Z46" s="207">
        <f t="shared" si="22"/>
        <v>10000</v>
      </c>
      <c r="AA46" s="207">
        <f t="shared" si="22"/>
        <v>10000</v>
      </c>
      <c r="AB46" s="207">
        <f t="shared" si="22"/>
        <v>50000</v>
      </c>
      <c r="AC46" s="207">
        <f t="shared" si="22"/>
        <v>0</v>
      </c>
      <c r="AD46" s="207">
        <f t="shared" si="22"/>
        <v>0</v>
      </c>
      <c r="AE46" s="207">
        <f t="shared" si="22"/>
        <v>210000</v>
      </c>
      <c r="AF46" s="211" t="s">
        <v>185</v>
      </c>
    </row>
    <row r="47" spans="1:37" s="4" customFormat="1" ht="104.25" customHeight="1" x14ac:dyDescent="0.3">
      <c r="A47" s="1082"/>
      <c r="B47" s="1193"/>
      <c r="C47" s="1076"/>
      <c r="D47" s="3" t="s">
        <v>206</v>
      </c>
      <c r="E47" s="23">
        <f>+S47+AE47</f>
        <v>500000</v>
      </c>
      <c r="F47" s="23">
        <v>0</v>
      </c>
      <c r="G47" s="82">
        <f t="shared" si="20"/>
        <v>500000</v>
      </c>
      <c r="H47" s="73"/>
      <c r="I47" s="73"/>
      <c r="J47" s="73"/>
      <c r="K47" s="73">
        <v>60000</v>
      </c>
      <c r="L47" s="73"/>
      <c r="M47" s="73"/>
      <c r="N47" s="569">
        <v>100000</v>
      </c>
      <c r="O47" s="73">
        <v>30000</v>
      </c>
      <c r="P47" s="73">
        <v>20000</v>
      </c>
      <c r="Q47" s="73">
        <v>80000</v>
      </c>
      <c r="R47" s="73"/>
      <c r="S47" s="74">
        <f>SUM(H47:R47)</f>
        <v>290000</v>
      </c>
      <c r="T47" s="73"/>
      <c r="U47" s="73">
        <v>20000</v>
      </c>
      <c r="V47" s="73">
        <v>20000</v>
      </c>
      <c r="W47" s="73">
        <v>80000</v>
      </c>
      <c r="X47" s="73">
        <v>10000</v>
      </c>
      <c r="Y47" s="73">
        <v>10000</v>
      </c>
      <c r="Z47" s="73">
        <v>10000</v>
      </c>
      <c r="AA47" s="73">
        <v>10000</v>
      </c>
      <c r="AB47" s="73">
        <v>50000</v>
      </c>
      <c r="AC47" s="73"/>
      <c r="AD47" s="73"/>
      <c r="AE47" s="74">
        <f>SUM(T47:AD47)</f>
        <v>210000</v>
      </c>
      <c r="AF47" s="24" t="s">
        <v>217</v>
      </c>
      <c r="AI47" s="84"/>
      <c r="AJ47" s="84"/>
      <c r="AK47" s="84"/>
    </row>
    <row r="48" spans="1:37" s="67" customFormat="1" ht="34.5" customHeight="1" x14ac:dyDescent="0.3">
      <c r="A48" s="1063" t="s">
        <v>534</v>
      </c>
      <c r="B48" s="1064"/>
      <c r="C48" s="1064"/>
      <c r="D48" s="1064"/>
      <c r="E48" s="1064"/>
      <c r="F48" s="1064"/>
      <c r="G48" s="1065"/>
      <c r="H48" s="220"/>
      <c r="I48" s="220"/>
      <c r="J48" s="220"/>
      <c r="K48" s="220"/>
      <c r="L48" s="220"/>
      <c r="M48" s="220"/>
      <c r="N48" s="220"/>
      <c r="O48" s="220"/>
      <c r="P48" s="220"/>
      <c r="Q48" s="220"/>
      <c r="R48" s="220"/>
      <c r="S48" s="213"/>
      <c r="T48" s="220"/>
      <c r="U48" s="220"/>
      <c r="V48" s="220"/>
      <c r="W48" s="220"/>
      <c r="X48" s="220"/>
      <c r="Y48" s="220"/>
      <c r="Z48" s="220"/>
      <c r="AA48" s="220"/>
      <c r="AB48" s="220"/>
      <c r="AC48" s="220"/>
      <c r="AD48" s="220"/>
      <c r="AE48" s="213"/>
      <c r="AF48" s="221"/>
      <c r="AI48" s="263"/>
      <c r="AJ48" s="263"/>
      <c r="AK48" s="263"/>
    </row>
    <row r="49" spans="1:37" ht="37.5" customHeight="1" x14ac:dyDescent="0.3">
      <c r="A49" s="1194" t="s">
        <v>93</v>
      </c>
      <c r="B49" s="1195"/>
      <c r="C49" s="1195"/>
      <c r="D49" s="1195"/>
      <c r="E49" s="1195"/>
      <c r="F49" s="1195"/>
      <c r="G49" s="1196"/>
      <c r="H49" s="222"/>
      <c r="I49" s="222"/>
      <c r="J49" s="222"/>
      <c r="K49" s="222"/>
      <c r="L49" s="222"/>
      <c r="M49" s="222"/>
      <c r="N49" s="222"/>
      <c r="O49" s="222"/>
      <c r="P49" s="222"/>
      <c r="Q49" s="222"/>
      <c r="R49" s="222"/>
      <c r="S49" s="222"/>
      <c r="T49" s="222"/>
      <c r="U49" s="222"/>
      <c r="V49" s="222"/>
      <c r="W49" s="222"/>
      <c r="X49" s="222"/>
      <c r="Y49" s="222"/>
      <c r="Z49" s="222"/>
      <c r="AA49" s="222"/>
      <c r="AB49" s="222"/>
      <c r="AC49" s="222"/>
      <c r="AD49" s="222"/>
      <c r="AE49" s="222"/>
      <c r="AF49" s="223"/>
    </row>
    <row r="50" spans="1:37" x14ac:dyDescent="0.3">
      <c r="A50" s="1131" t="s">
        <v>94</v>
      </c>
      <c r="B50" s="40"/>
      <c r="C50" s="108"/>
      <c r="D50" s="108"/>
      <c r="E50" s="70">
        <f>+E51+E56+E62+E64</f>
        <v>377000</v>
      </c>
      <c r="F50" s="70">
        <f>+F51+F56+F62+F64</f>
        <v>343416.08999999997</v>
      </c>
      <c r="G50" s="70">
        <f>+E50+F50</f>
        <v>720416.09</v>
      </c>
      <c r="H50" s="70">
        <f t="shared" ref="H50:AE50" si="23">+H51+H56+H62+H64</f>
        <v>0</v>
      </c>
      <c r="I50" s="70">
        <f t="shared" si="23"/>
        <v>0</v>
      </c>
      <c r="J50" s="70">
        <f t="shared" si="23"/>
        <v>0</v>
      </c>
      <c r="K50" s="70">
        <f t="shared" si="23"/>
        <v>15000</v>
      </c>
      <c r="L50" s="70">
        <f t="shared" si="23"/>
        <v>0</v>
      </c>
      <c r="M50" s="70">
        <f t="shared" si="23"/>
        <v>0</v>
      </c>
      <c r="N50" s="70">
        <f t="shared" si="23"/>
        <v>82000</v>
      </c>
      <c r="O50" s="70">
        <f t="shared" si="23"/>
        <v>81000</v>
      </c>
      <c r="P50" s="70">
        <f t="shared" si="23"/>
        <v>46000</v>
      </c>
      <c r="Q50" s="70">
        <f t="shared" si="23"/>
        <v>6000</v>
      </c>
      <c r="R50" s="70">
        <f t="shared" si="23"/>
        <v>6000</v>
      </c>
      <c r="S50" s="70">
        <f t="shared" si="23"/>
        <v>236000</v>
      </c>
      <c r="T50" s="70">
        <f t="shared" si="23"/>
        <v>6000</v>
      </c>
      <c r="U50" s="70">
        <f t="shared" si="23"/>
        <v>193566.09</v>
      </c>
      <c r="V50" s="70">
        <f t="shared" si="23"/>
        <v>106000</v>
      </c>
      <c r="W50" s="70">
        <f t="shared" si="23"/>
        <v>136850</v>
      </c>
      <c r="X50" s="70">
        <f t="shared" si="23"/>
        <v>6000</v>
      </c>
      <c r="Y50" s="70">
        <f t="shared" si="23"/>
        <v>21000</v>
      </c>
      <c r="Z50" s="70">
        <f t="shared" si="23"/>
        <v>15000</v>
      </c>
      <c r="AA50" s="70">
        <f t="shared" si="23"/>
        <v>0</v>
      </c>
      <c r="AB50" s="70">
        <f t="shared" si="23"/>
        <v>0</v>
      </c>
      <c r="AC50" s="70">
        <f t="shared" si="23"/>
        <v>0</v>
      </c>
      <c r="AD50" s="70">
        <f t="shared" si="23"/>
        <v>0</v>
      </c>
      <c r="AE50" s="70">
        <f t="shared" si="23"/>
        <v>484416.08999999997</v>
      </c>
      <c r="AF50" s="40"/>
    </row>
    <row r="51" spans="1:37" x14ac:dyDescent="0.3">
      <c r="A51" s="1131"/>
      <c r="B51" s="1192" t="s">
        <v>2</v>
      </c>
      <c r="C51" s="1075" t="s">
        <v>852</v>
      </c>
      <c r="D51" s="206"/>
      <c r="E51" s="207">
        <f t="shared" ref="E51:AE51" si="24">SUM(E52:E55)</f>
        <v>202000</v>
      </c>
      <c r="F51" s="207">
        <f t="shared" si="24"/>
        <v>0</v>
      </c>
      <c r="G51" s="207">
        <f t="shared" si="24"/>
        <v>202000</v>
      </c>
      <c r="H51" s="207">
        <f t="shared" si="24"/>
        <v>0</v>
      </c>
      <c r="I51" s="207">
        <f t="shared" si="24"/>
        <v>0</v>
      </c>
      <c r="J51" s="207">
        <f t="shared" si="24"/>
        <v>0</v>
      </c>
      <c r="K51" s="207">
        <f t="shared" si="24"/>
        <v>15000</v>
      </c>
      <c r="L51" s="207">
        <f t="shared" si="24"/>
        <v>0</v>
      </c>
      <c r="M51" s="207">
        <f t="shared" si="24"/>
        <v>0</v>
      </c>
      <c r="N51" s="207">
        <f t="shared" si="24"/>
        <v>32000</v>
      </c>
      <c r="O51" s="207">
        <f t="shared" si="24"/>
        <v>6000</v>
      </c>
      <c r="P51" s="207">
        <f t="shared" si="24"/>
        <v>46000</v>
      </c>
      <c r="Q51" s="207">
        <f t="shared" si="24"/>
        <v>6000</v>
      </c>
      <c r="R51" s="207">
        <f t="shared" si="24"/>
        <v>6000</v>
      </c>
      <c r="S51" s="207">
        <f t="shared" si="24"/>
        <v>111000</v>
      </c>
      <c r="T51" s="207">
        <f t="shared" si="24"/>
        <v>6000</v>
      </c>
      <c r="U51" s="207">
        <f t="shared" si="24"/>
        <v>6000</v>
      </c>
      <c r="V51" s="207">
        <f t="shared" si="24"/>
        <v>31000</v>
      </c>
      <c r="W51" s="207">
        <f t="shared" si="24"/>
        <v>6000</v>
      </c>
      <c r="X51" s="207">
        <f t="shared" si="24"/>
        <v>6000</v>
      </c>
      <c r="Y51" s="207">
        <f t="shared" si="24"/>
        <v>21000</v>
      </c>
      <c r="Z51" s="207">
        <f t="shared" si="24"/>
        <v>15000</v>
      </c>
      <c r="AA51" s="207">
        <f t="shared" si="24"/>
        <v>0</v>
      </c>
      <c r="AB51" s="207">
        <f t="shared" si="24"/>
        <v>0</v>
      </c>
      <c r="AC51" s="207">
        <f t="shared" si="24"/>
        <v>0</v>
      </c>
      <c r="AD51" s="207">
        <f t="shared" si="24"/>
        <v>0</v>
      </c>
      <c r="AE51" s="207">
        <f t="shared" si="24"/>
        <v>91000</v>
      </c>
      <c r="AF51" s="211"/>
    </row>
    <row r="52" spans="1:37" s="257" customFormat="1" ht="18.75" customHeight="1" x14ac:dyDescent="0.3">
      <c r="A52" s="1131"/>
      <c r="B52" s="1193"/>
      <c r="C52" s="1076"/>
      <c r="D52" s="197" t="s">
        <v>117</v>
      </c>
      <c r="E52" s="254">
        <f>+S52+AE52</f>
        <v>36000</v>
      </c>
      <c r="F52" s="254">
        <v>0</v>
      </c>
      <c r="G52" s="255">
        <f>+E52+F52</f>
        <v>36000</v>
      </c>
      <c r="H52" s="252"/>
      <c r="I52" s="252"/>
      <c r="J52" s="252"/>
      <c r="K52" s="252"/>
      <c r="L52" s="252"/>
      <c r="M52" s="252"/>
      <c r="N52" s="252"/>
      <c r="O52" s="252"/>
      <c r="P52" s="252"/>
      <c r="Q52" s="252"/>
      <c r="R52" s="252"/>
      <c r="S52" s="253">
        <f>SUM(H52:R52)</f>
        <v>0</v>
      </c>
      <c r="T52" s="559">
        <v>6000</v>
      </c>
      <c r="U52" s="559">
        <v>6000</v>
      </c>
      <c r="V52" s="559">
        <v>6000</v>
      </c>
      <c r="W52" s="559">
        <v>6000</v>
      </c>
      <c r="X52" s="559">
        <v>6000</v>
      </c>
      <c r="Y52" s="559">
        <v>6000</v>
      </c>
      <c r="Z52" s="61"/>
      <c r="AA52" s="61"/>
      <c r="AB52" s="61"/>
      <c r="AC52" s="61"/>
      <c r="AD52" s="61"/>
      <c r="AE52" s="253">
        <f>SUM(T52:AD52)</f>
        <v>36000</v>
      </c>
      <c r="AF52" s="256" t="s">
        <v>185</v>
      </c>
      <c r="AI52" s="262"/>
      <c r="AJ52" s="262"/>
      <c r="AK52" s="262"/>
    </row>
    <row r="53" spans="1:37" s="257" customFormat="1" ht="18.75" customHeight="1" x14ac:dyDescent="0.3">
      <c r="A53" s="1131"/>
      <c r="B53" s="1193"/>
      <c r="C53" s="1076"/>
      <c r="D53" s="563" t="s">
        <v>604</v>
      </c>
      <c r="E53" s="254">
        <f>+S53+AE53</f>
        <v>30000</v>
      </c>
      <c r="F53" s="254">
        <v>0</v>
      </c>
      <c r="G53" s="255">
        <f>+E53+F53</f>
        <v>30000</v>
      </c>
      <c r="H53" s="252"/>
      <c r="I53" s="252"/>
      <c r="J53" s="562"/>
      <c r="K53" s="562"/>
      <c r="L53" s="562"/>
      <c r="M53" s="562"/>
      <c r="N53" s="562">
        <v>6000</v>
      </c>
      <c r="O53" s="562">
        <v>6000</v>
      </c>
      <c r="P53" s="562">
        <v>6000</v>
      </c>
      <c r="Q53" s="562">
        <v>6000</v>
      </c>
      <c r="R53" s="562">
        <v>6000</v>
      </c>
      <c r="S53" s="253">
        <f>SUM(H53:R53)</f>
        <v>30000</v>
      </c>
      <c r="T53" s="264"/>
      <c r="U53" s="252"/>
      <c r="V53" s="252"/>
      <c r="W53" s="252"/>
      <c r="X53" s="252"/>
      <c r="Y53" s="252"/>
      <c r="Z53" s="252"/>
      <c r="AA53" s="252"/>
      <c r="AB53" s="252"/>
      <c r="AC53" s="252"/>
      <c r="AD53" s="252"/>
      <c r="AE53" s="253">
        <f>SUM(T53:AD53)</f>
        <v>0</v>
      </c>
      <c r="AF53" s="256" t="s">
        <v>185</v>
      </c>
      <c r="AJ53" s="262"/>
      <c r="AK53" s="262"/>
    </row>
    <row r="54" spans="1:37" s="4" customFormat="1" ht="57.75" customHeight="1" x14ac:dyDescent="0.3">
      <c r="A54" s="1131"/>
      <c r="B54" s="1193"/>
      <c r="C54" s="1076"/>
      <c r="D54" s="2" t="s">
        <v>182</v>
      </c>
      <c r="E54" s="23">
        <f>+S54+AE54</f>
        <v>71000</v>
      </c>
      <c r="F54" s="23">
        <v>0</v>
      </c>
      <c r="G54" s="82">
        <f>+E54+F54</f>
        <v>71000</v>
      </c>
      <c r="H54" s="73"/>
      <c r="I54" s="73"/>
      <c r="J54" s="73"/>
      <c r="K54" s="73">
        <v>15000</v>
      </c>
      <c r="L54" s="73"/>
      <c r="M54" s="73"/>
      <c r="N54" s="569">
        <v>11000</v>
      </c>
      <c r="O54" s="73"/>
      <c r="P54" s="73">
        <v>20000</v>
      </c>
      <c r="Q54" s="73"/>
      <c r="R54" s="73"/>
      <c r="S54" s="74">
        <f>SUM(H54:R54)</f>
        <v>46000</v>
      </c>
      <c r="T54" s="73"/>
      <c r="U54" s="73"/>
      <c r="V54" s="73">
        <v>10000</v>
      </c>
      <c r="W54" s="73"/>
      <c r="X54" s="73"/>
      <c r="Y54" s="73"/>
      <c r="Z54" s="73">
        <v>15000</v>
      </c>
      <c r="AA54" s="73"/>
      <c r="AB54" s="73"/>
      <c r="AC54" s="73"/>
      <c r="AD54" s="73"/>
      <c r="AE54" s="74">
        <f>SUM(T54:AD54)</f>
        <v>25000</v>
      </c>
      <c r="AF54" s="24" t="s">
        <v>219</v>
      </c>
      <c r="AJ54" s="84"/>
      <c r="AK54" s="84"/>
    </row>
    <row r="55" spans="1:37" s="4" customFormat="1" ht="72" x14ac:dyDescent="0.3">
      <c r="A55" s="1131"/>
      <c r="B55" s="1197"/>
      <c r="C55" s="1077"/>
      <c r="D55" s="2" t="s">
        <v>565</v>
      </c>
      <c r="E55" s="23">
        <f>+S55+AE55</f>
        <v>65000</v>
      </c>
      <c r="F55" s="23">
        <v>0</v>
      </c>
      <c r="G55" s="82">
        <f>+E55+F55</f>
        <v>65000</v>
      </c>
      <c r="H55" s="73"/>
      <c r="I55" s="73"/>
      <c r="J55" s="73"/>
      <c r="K55" s="73"/>
      <c r="L55" s="73"/>
      <c r="M55" s="73"/>
      <c r="N55" s="569">
        <v>15000</v>
      </c>
      <c r="O55" s="73"/>
      <c r="P55" s="73">
        <v>20000</v>
      </c>
      <c r="Q55" s="73"/>
      <c r="R55" s="73"/>
      <c r="S55" s="74">
        <f>SUM(H55:R55)</f>
        <v>35000</v>
      </c>
      <c r="T55" s="73"/>
      <c r="U55" s="73"/>
      <c r="V55" s="73">
        <v>15000</v>
      </c>
      <c r="W55" s="73"/>
      <c r="X55" s="73"/>
      <c r="Y55" s="73">
        <v>15000</v>
      </c>
      <c r="Z55" s="73"/>
      <c r="AA55" s="73"/>
      <c r="AB55" s="73"/>
      <c r="AC55" s="73"/>
      <c r="AD55" s="73"/>
      <c r="AE55" s="74">
        <f>SUM(T55:AD55)</f>
        <v>30000</v>
      </c>
      <c r="AF55" s="24" t="s">
        <v>219</v>
      </c>
      <c r="AJ55" s="84"/>
      <c r="AK55" s="84"/>
    </row>
    <row r="56" spans="1:37" s="4" customFormat="1" ht="15" customHeight="1" x14ac:dyDescent="0.3">
      <c r="A56" s="1131"/>
      <c r="B56" s="1192" t="s">
        <v>3</v>
      </c>
      <c r="C56" s="1075" t="s">
        <v>188</v>
      </c>
      <c r="D56" s="201"/>
      <c r="E56" s="202">
        <f>+E57</f>
        <v>175000</v>
      </c>
      <c r="F56" s="202">
        <f t="shared" ref="F56:AE56" si="25">+F57</f>
        <v>0</v>
      </c>
      <c r="G56" s="202">
        <f t="shared" si="25"/>
        <v>175000</v>
      </c>
      <c r="H56" s="202">
        <f t="shared" si="25"/>
        <v>0</v>
      </c>
      <c r="I56" s="202">
        <f t="shared" si="25"/>
        <v>0</v>
      </c>
      <c r="J56" s="202">
        <f t="shared" si="25"/>
        <v>0</v>
      </c>
      <c r="K56" s="202">
        <f t="shared" si="25"/>
        <v>0</v>
      </c>
      <c r="L56" s="202">
        <f t="shared" si="25"/>
        <v>0</v>
      </c>
      <c r="M56" s="202">
        <f t="shared" si="25"/>
        <v>0</v>
      </c>
      <c r="N56" s="202">
        <f t="shared" si="25"/>
        <v>50000</v>
      </c>
      <c r="O56" s="202">
        <f t="shared" si="25"/>
        <v>50000</v>
      </c>
      <c r="P56" s="202">
        <f t="shared" si="25"/>
        <v>0</v>
      </c>
      <c r="Q56" s="202">
        <f t="shared" si="25"/>
        <v>0</v>
      </c>
      <c r="R56" s="202">
        <f t="shared" si="25"/>
        <v>0</v>
      </c>
      <c r="S56" s="202">
        <f t="shared" si="25"/>
        <v>100000</v>
      </c>
      <c r="T56" s="202">
        <f t="shared" si="25"/>
        <v>0</v>
      </c>
      <c r="U56" s="202">
        <f t="shared" si="25"/>
        <v>0</v>
      </c>
      <c r="V56" s="202">
        <f t="shared" si="25"/>
        <v>75000</v>
      </c>
      <c r="W56" s="202">
        <f t="shared" si="25"/>
        <v>0</v>
      </c>
      <c r="X56" s="202">
        <f t="shared" si="25"/>
        <v>0</v>
      </c>
      <c r="Y56" s="202">
        <f t="shared" si="25"/>
        <v>0</v>
      </c>
      <c r="Z56" s="202">
        <f t="shared" si="25"/>
        <v>0</v>
      </c>
      <c r="AA56" s="202">
        <f t="shared" si="25"/>
        <v>0</v>
      </c>
      <c r="AB56" s="202">
        <f t="shared" si="25"/>
        <v>0</v>
      </c>
      <c r="AC56" s="202">
        <f t="shared" si="25"/>
        <v>0</v>
      </c>
      <c r="AD56" s="202">
        <f t="shared" si="25"/>
        <v>0</v>
      </c>
      <c r="AE56" s="202">
        <f t="shared" si="25"/>
        <v>75000</v>
      </c>
      <c r="AF56" s="205"/>
      <c r="AI56" s="84"/>
      <c r="AJ56" s="84"/>
      <c r="AK56" s="84"/>
    </row>
    <row r="57" spans="1:37" s="4" customFormat="1" ht="30" customHeight="1" x14ac:dyDescent="0.3">
      <c r="A57" s="1131"/>
      <c r="B57" s="1193"/>
      <c r="C57" s="1076"/>
      <c r="D57" s="2" t="s">
        <v>193</v>
      </c>
      <c r="E57" s="1215">
        <f>+S57+AE57</f>
        <v>175000</v>
      </c>
      <c r="F57" s="1215">
        <v>0</v>
      </c>
      <c r="G57" s="1218">
        <f>+E57+F57</f>
        <v>175000</v>
      </c>
      <c r="H57" s="1206"/>
      <c r="I57" s="1206"/>
      <c r="J57" s="1206"/>
      <c r="K57" s="1206"/>
      <c r="L57" s="1206"/>
      <c r="M57" s="1206"/>
      <c r="N57" s="1212">
        <v>50000</v>
      </c>
      <c r="O57" s="1206">
        <v>50000</v>
      </c>
      <c r="P57" s="1206"/>
      <c r="Q57" s="1206"/>
      <c r="R57" s="1206"/>
      <c r="S57" s="1209">
        <f>SUM(H57:R57)</f>
        <v>100000</v>
      </c>
      <c r="T57" s="1206"/>
      <c r="U57" s="1206"/>
      <c r="V57" s="1206">
        <v>75000</v>
      </c>
      <c r="W57" s="1206"/>
      <c r="X57" s="1206"/>
      <c r="Y57" s="1206"/>
      <c r="Z57" s="1206"/>
      <c r="AA57" s="1206"/>
      <c r="AB57" s="1206"/>
      <c r="AC57" s="1206"/>
      <c r="AD57" s="1206"/>
      <c r="AE57" s="1209">
        <f>SUM(T57:AD57)</f>
        <v>75000</v>
      </c>
      <c r="AF57" s="1203" t="s">
        <v>219</v>
      </c>
      <c r="AI57" s="84"/>
      <c r="AJ57" s="84"/>
      <c r="AK57" s="84"/>
    </row>
    <row r="58" spans="1:37" s="4" customFormat="1" ht="28.5" customHeight="1" x14ac:dyDescent="0.3">
      <c r="A58" s="1131"/>
      <c r="B58" s="1193"/>
      <c r="C58" s="1076"/>
      <c r="D58" s="2" t="s">
        <v>189</v>
      </c>
      <c r="E58" s="1216"/>
      <c r="F58" s="1216"/>
      <c r="G58" s="1219"/>
      <c r="H58" s="1207"/>
      <c r="I58" s="1207"/>
      <c r="J58" s="1207"/>
      <c r="K58" s="1207"/>
      <c r="L58" s="1207"/>
      <c r="M58" s="1207"/>
      <c r="N58" s="1213"/>
      <c r="O58" s="1207"/>
      <c r="P58" s="1207"/>
      <c r="Q58" s="1207"/>
      <c r="R58" s="1207"/>
      <c r="S58" s="1210"/>
      <c r="T58" s="1207"/>
      <c r="U58" s="1207"/>
      <c r="V58" s="1207"/>
      <c r="W58" s="1207"/>
      <c r="X58" s="1207"/>
      <c r="Y58" s="1207"/>
      <c r="Z58" s="1207"/>
      <c r="AA58" s="1207"/>
      <c r="AB58" s="1207"/>
      <c r="AC58" s="1207"/>
      <c r="AD58" s="1207"/>
      <c r="AE58" s="1210"/>
      <c r="AF58" s="1204"/>
      <c r="AI58" s="84"/>
      <c r="AJ58" s="84"/>
      <c r="AK58" s="84"/>
    </row>
    <row r="59" spans="1:37" s="4" customFormat="1" ht="29.25" customHeight="1" x14ac:dyDescent="0.3">
      <c r="A59" s="1131"/>
      <c r="B59" s="1193"/>
      <c r="C59" s="1076"/>
      <c r="D59" s="2" t="s">
        <v>190</v>
      </c>
      <c r="E59" s="1216"/>
      <c r="F59" s="1216"/>
      <c r="G59" s="1219"/>
      <c r="H59" s="1207"/>
      <c r="I59" s="1207"/>
      <c r="J59" s="1207"/>
      <c r="K59" s="1207"/>
      <c r="L59" s="1207"/>
      <c r="M59" s="1207"/>
      <c r="N59" s="1213"/>
      <c r="O59" s="1207"/>
      <c r="P59" s="1207"/>
      <c r="Q59" s="1207"/>
      <c r="R59" s="1207"/>
      <c r="S59" s="1210"/>
      <c r="T59" s="1207"/>
      <c r="U59" s="1207"/>
      <c r="V59" s="1207"/>
      <c r="W59" s="1207"/>
      <c r="X59" s="1207"/>
      <c r="Y59" s="1207"/>
      <c r="Z59" s="1207"/>
      <c r="AA59" s="1207"/>
      <c r="AB59" s="1207"/>
      <c r="AC59" s="1207"/>
      <c r="AD59" s="1207"/>
      <c r="AE59" s="1210"/>
      <c r="AF59" s="1204"/>
      <c r="AJ59" s="84"/>
      <c r="AK59" s="84"/>
    </row>
    <row r="60" spans="1:37" s="4" customFormat="1" ht="30.75" customHeight="1" x14ac:dyDescent="0.3">
      <c r="A60" s="1131"/>
      <c r="B60" s="1193"/>
      <c r="C60" s="1076"/>
      <c r="D60" s="2" t="s">
        <v>191</v>
      </c>
      <c r="E60" s="1216"/>
      <c r="F60" s="1216"/>
      <c r="G60" s="1219"/>
      <c r="H60" s="1207"/>
      <c r="I60" s="1207"/>
      <c r="J60" s="1207"/>
      <c r="K60" s="1207"/>
      <c r="L60" s="1207"/>
      <c r="M60" s="1207"/>
      <c r="N60" s="1213"/>
      <c r="O60" s="1207"/>
      <c r="P60" s="1207"/>
      <c r="Q60" s="1207"/>
      <c r="R60" s="1207"/>
      <c r="S60" s="1210"/>
      <c r="T60" s="1207"/>
      <c r="U60" s="1207"/>
      <c r="V60" s="1207"/>
      <c r="W60" s="1207"/>
      <c r="X60" s="1207"/>
      <c r="Y60" s="1207"/>
      <c r="Z60" s="1207"/>
      <c r="AA60" s="1207"/>
      <c r="AB60" s="1207"/>
      <c r="AC60" s="1207"/>
      <c r="AD60" s="1207"/>
      <c r="AE60" s="1210"/>
      <c r="AF60" s="1204"/>
      <c r="AJ60" s="84"/>
      <c r="AK60" s="84"/>
    </row>
    <row r="61" spans="1:37" s="4" customFormat="1" ht="27.75" customHeight="1" x14ac:dyDescent="0.3">
      <c r="A61" s="1131"/>
      <c r="B61" s="1193"/>
      <c r="C61" s="1076"/>
      <c r="D61" s="2" t="s">
        <v>192</v>
      </c>
      <c r="E61" s="1217"/>
      <c r="F61" s="1217"/>
      <c r="G61" s="1220"/>
      <c r="H61" s="1208"/>
      <c r="I61" s="1208"/>
      <c r="J61" s="1208"/>
      <c r="K61" s="1208"/>
      <c r="L61" s="1208"/>
      <c r="M61" s="1208"/>
      <c r="N61" s="1214"/>
      <c r="O61" s="1208"/>
      <c r="P61" s="1208"/>
      <c r="Q61" s="1208"/>
      <c r="R61" s="1208"/>
      <c r="S61" s="1211"/>
      <c r="T61" s="1208"/>
      <c r="U61" s="1208"/>
      <c r="V61" s="1208"/>
      <c r="W61" s="1208"/>
      <c r="X61" s="1208"/>
      <c r="Y61" s="1208"/>
      <c r="Z61" s="1208"/>
      <c r="AA61" s="1208"/>
      <c r="AB61" s="1208"/>
      <c r="AC61" s="1208"/>
      <c r="AD61" s="1208"/>
      <c r="AE61" s="1211"/>
      <c r="AF61" s="1205"/>
      <c r="AJ61" s="84"/>
      <c r="AK61" s="84"/>
    </row>
    <row r="62" spans="1:37" s="4" customFormat="1" ht="15.75" customHeight="1" x14ac:dyDescent="0.3">
      <c r="A62" s="1131"/>
      <c r="B62" s="1192" t="s">
        <v>4</v>
      </c>
      <c r="C62" s="1075" t="s">
        <v>181</v>
      </c>
      <c r="D62" s="201"/>
      <c r="E62" s="202">
        <f>+E63</f>
        <v>0</v>
      </c>
      <c r="F62" s="202">
        <f>+F63</f>
        <v>155566.09</v>
      </c>
      <c r="G62" s="202">
        <f>+E62+F62</f>
        <v>155566.09</v>
      </c>
      <c r="H62" s="202">
        <f t="shared" ref="H62:AE62" si="26">+H63</f>
        <v>0</v>
      </c>
      <c r="I62" s="202">
        <f t="shared" si="26"/>
        <v>0</v>
      </c>
      <c r="J62" s="202">
        <f t="shared" si="26"/>
        <v>0</v>
      </c>
      <c r="K62" s="202">
        <f t="shared" si="26"/>
        <v>0</v>
      </c>
      <c r="L62" s="202">
        <f t="shared" si="26"/>
        <v>0</v>
      </c>
      <c r="M62" s="202">
        <f t="shared" si="26"/>
        <v>0</v>
      </c>
      <c r="N62" s="202">
        <f t="shared" si="26"/>
        <v>0</v>
      </c>
      <c r="O62" s="202">
        <f t="shared" si="26"/>
        <v>25000</v>
      </c>
      <c r="P62" s="202">
        <f t="shared" si="26"/>
        <v>0</v>
      </c>
      <c r="Q62" s="202">
        <f t="shared" si="26"/>
        <v>0</v>
      </c>
      <c r="R62" s="202">
        <f t="shared" si="26"/>
        <v>0</v>
      </c>
      <c r="S62" s="202">
        <f t="shared" si="26"/>
        <v>25000</v>
      </c>
      <c r="T62" s="202">
        <f t="shared" si="26"/>
        <v>0</v>
      </c>
      <c r="U62" s="202">
        <f t="shared" si="26"/>
        <v>115566.09</v>
      </c>
      <c r="V62" s="202">
        <f t="shared" si="26"/>
        <v>0</v>
      </c>
      <c r="W62" s="202">
        <f t="shared" si="26"/>
        <v>15000</v>
      </c>
      <c r="X62" s="202">
        <f t="shared" si="26"/>
        <v>0</v>
      </c>
      <c r="Y62" s="202">
        <f t="shared" si="26"/>
        <v>0</v>
      </c>
      <c r="Z62" s="202">
        <f t="shared" si="26"/>
        <v>0</v>
      </c>
      <c r="AA62" s="202">
        <f t="shared" si="26"/>
        <v>0</v>
      </c>
      <c r="AB62" s="202">
        <f t="shared" si="26"/>
        <v>0</v>
      </c>
      <c r="AC62" s="202">
        <f t="shared" si="26"/>
        <v>0</v>
      </c>
      <c r="AD62" s="202">
        <f t="shared" si="26"/>
        <v>0</v>
      </c>
      <c r="AE62" s="202">
        <f t="shared" si="26"/>
        <v>130566.09</v>
      </c>
      <c r="AF62" s="205"/>
      <c r="AJ62" s="84"/>
      <c r="AK62" s="84"/>
    </row>
    <row r="63" spans="1:37" s="4" customFormat="1" ht="90.75" customHeight="1" x14ac:dyDescent="0.3">
      <c r="A63" s="1131"/>
      <c r="B63" s="1197"/>
      <c r="C63" s="1077"/>
      <c r="D63" s="2" t="s">
        <v>566</v>
      </c>
      <c r="E63" s="23">
        <v>0</v>
      </c>
      <c r="F63" s="23">
        <f>+S63+AE63</f>
        <v>155566.09</v>
      </c>
      <c r="G63" s="82">
        <f>+E63+F63</f>
        <v>155566.09</v>
      </c>
      <c r="H63" s="73"/>
      <c r="I63" s="73"/>
      <c r="J63" s="73"/>
      <c r="K63" s="73"/>
      <c r="L63" s="73"/>
      <c r="M63" s="73"/>
      <c r="N63" s="73"/>
      <c r="O63" s="73">
        <v>25000</v>
      </c>
      <c r="P63" s="73"/>
      <c r="Q63" s="73"/>
      <c r="R63" s="73"/>
      <c r="S63" s="74">
        <f>SUM(H63:R63)</f>
        <v>25000</v>
      </c>
      <c r="T63" s="73"/>
      <c r="U63" s="73">
        <v>115566.09</v>
      </c>
      <c r="V63" s="73"/>
      <c r="W63" s="73">
        <v>15000</v>
      </c>
      <c r="X63" s="73"/>
      <c r="Y63" s="73"/>
      <c r="Z63" s="73"/>
      <c r="AA63" s="73"/>
      <c r="AB63" s="73"/>
      <c r="AC63" s="73"/>
      <c r="AD63" s="73"/>
      <c r="AE63" s="74">
        <f>SUM(T63:AD63)</f>
        <v>130566.09</v>
      </c>
      <c r="AF63" s="24" t="s">
        <v>219</v>
      </c>
      <c r="AJ63" s="84"/>
      <c r="AK63" s="84"/>
    </row>
    <row r="64" spans="1:37" s="4" customFormat="1" ht="18.75" customHeight="1" x14ac:dyDescent="0.3">
      <c r="A64" s="1131"/>
      <c r="B64" s="1192" t="s">
        <v>8</v>
      </c>
      <c r="C64" s="1075" t="s">
        <v>535</v>
      </c>
      <c r="D64" s="201"/>
      <c r="E64" s="202">
        <f>+E65</f>
        <v>0</v>
      </c>
      <c r="F64" s="202">
        <f>+F65</f>
        <v>187850</v>
      </c>
      <c r="G64" s="202">
        <f>+E64+F64</f>
        <v>187850</v>
      </c>
      <c r="H64" s="203">
        <f>+H65</f>
        <v>0</v>
      </c>
      <c r="I64" s="203">
        <f t="shared" ref="I64:AE64" si="27">+I65</f>
        <v>0</v>
      </c>
      <c r="J64" s="203">
        <f t="shared" si="27"/>
        <v>0</v>
      </c>
      <c r="K64" s="203">
        <f t="shared" si="27"/>
        <v>0</v>
      </c>
      <c r="L64" s="203">
        <f t="shared" si="27"/>
        <v>0</v>
      </c>
      <c r="M64" s="203">
        <f t="shared" si="27"/>
        <v>0</v>
      </c>
      <c r="N64" s="203">
        <f t="shared" si="27"/>
        <v>0</v>
      </c>
      <c r="O64" s="203">
        <f t="shared" si="27"/>
        <v>0</v>
      </c>
      <c r="P64" s="203">
        <f t="shared" si="27"/>
        <v>0</v>
      </c>
      <c r="Q64" s="203">
        <f t="shared" si="27"/>
        <v>0</v>
      </c>
      <c r="R64" s="203">
        <f t="shared" si="27"/>
        <v>0</v>
      </c>
      <c r="S64" s="203">
        <f t="shared" si="27"/>
        <v>0</v>
      </c>
      <c r="T64" s="203">
        <f t="shared" si="27"/>
        <v>0</v>
      </c>
      <c r="U64" s="203">
        <f t="shared" si="27"/>
        <v>72000</v>
      </c>
      <c r="V64" s="203">
        <f t="shared" si="27"/>
        <v>0</v>
      </c>
      <c r="W64" s="203">
        <f t="shared" si="27"/>
        <v>115850</v>
      </c>
      <c r="X64" s="203">
        <f t="shared" si="27"/>
        <v>0</v>
      </c>
      <c r="Y64" s="203">
        <f t="shared" si="27"/>
        <v>0</v>
      </c>
      <c r="Z64" s="203">
        <f t="shared" si="27"/>
        <v>0</v>
      </c>
      <c r="AA64" s="203">
        <f t="shared" si="27"/>
        <v>0</v>
      </c>
      <c r="AB64" s="203">
        <f t="shared" si="27"/>
        <v>0</v>
      </c>
      <c r="AC64" s="203">
        <f t="shared" si="27"/>
        <v>0</v>
      </c>
      <c r="AD64" s="203">
        <f t="shared" si="27"/>
        <v>0</v>
      </c>
      <c r="AE64" s="203">
        <f t="shared" si="27"/>
        <v>187850</v>
      </c>
      <c r="AF64" s="205"/>
      <c r="AJ64" s="84"/>
      <c r="AK64" s="84"/>
    </row>
    <row r="65" spans="1:37" s="4" customFormat="1" ht="49.5" customHeight="1" x14ac:dyDescent="0.3">
      <c r="A65" s="1131"/>
      <c r="B65" s="1197"/>
      <c r="C65" s="1077"/>
      <c r="D65" s="2" t="s">
        <v>194</v>
      </c>
      <c r="E65" s="23">
        <v>0</v>
      </c>
      <c r="F65" s="23">
        <f>+S65+AE65</f>
        <v>187850</v>
      </c>
      <c r="G65" s="82">
        <f>+E65+F65</f>
        <v>187850</v>
      </c>
      <c r="H65" s="73"/>
      <c r="I65" s="73"/>
      <c r="J65" s="73"/>
      <c r="K65" s="73"/>
      <c r="L65" s="73"/>
      <c r="M65" s="73"/>
      <c r="N65" s="73"/>
      <c r="O65" s="73"/>
      <c r="P65" s="73"/>
      <c r="Q65" s="73"/>
      <c r="R65" s="73"/>
      <c r="S65" s="74">
        <f>SUM(H65:R65)</f>
        <v>0</v>
      </c>
      <c r="T65" s="73"/>
      <c r="U65" s="73">
        <v>72000</v>
      </c>
      <c r="V65" s="73"/>
      <c r="W65" s="73">
        <v>115850</v>
      </c>
      <c r="X65" s="73"/>
      <c r="Y65" s="73"/>
      <c r="Z65" s="73"/>
      <c r="AA65" s="73"/>
      <c r="AB65" s="73"/>
      <c r="AC65" s="73"/>
      <c r="AD65" s="73"/>
      <c r="AE65" s="74">
        <f>SUM(T65:AD65)</f>
        <v>187850</v>
      </c>
      <c r="AF65" s="24" t="s">
        <v>219</v>
      </c>
      <c r="AJ65" s="84"/>
      <c r="AK65" s="84"/>
    </row>
    <row r="66" spans="1:37" x14ac:dyDescent="0.3">
      <c r="A66" s="1131" t="s">
        <v>95</v>
      </c>
      <c r="B66" s="40"/>
      <c r="C66" s="108"/>
      <c r="D66" s="108"/>
      <c r="E66" s="70">
        <f t="shared" ref="E66:AE66" si="28">+E67+E74</f>
        <v>626000</v>
      </c>
      <c r="F66" s="70">
        <f t="shared" si="28"/>
        <v>799704.21</v>
      </c>
      <c r="G66" s="70">
        <f t="shared" si="28"/>
        <v>1425704.21</v>
      </c>
      <c r="H66" s="70">
        <f t="shared" si="28"/>
        <v>0</v>
      </c>
      <c r="I66" s="70">
        <f t="shared" si="28"/>
        <v>0</v>
      </c>
      <c r="J66" s="70">
        <f t="shared" si="28"/>
        <v>0</v>
      </c>
      <c r="K66" s="70">
        <f t="shared" si="28"/>
        <v>15000</v>
      </c>
      <c r="L66" s="70">
        <f t="shared" si="28"/>
        <v>60000</v>
      </c>
      <c r="M66" s="70">
        <f t="shared" si="28"/>
        <v>50000</v>
      </c>
      <c r="N66" s="70">
        <f t="shared" si="28"/>
        <v>41000</v>
      </c>
      <c r="O66" s="70">
        <f t="shared" si="28"/>
        <v>11000</v>
      </c>
      <c r="P66" s="70">
        <f t="shared" si="28"/>
        <v>11000</v>
      </c>
      <c r="Q66" s="70">
        <f t="shared" si="28"/>
        <v>265700</v>
      </c>
      <c r="R66" s="70">
        <f t="shared" si="28"/>
        <v>11000</v>
      </c>
      <c r="S66" s="70">
        <f t="shared" si="28"/>
        <v>464700</v>
      </c>
      <c r="T66" s="70">
        <f t="shared" si="28"/>
        <v>11000</v>
      </c>
      <c r="U66" s="70">
        <f t="shared" si="28"/>
        <v>450654.20999999996</v>
      </c>
      <c r="V66" s="70">
        <f t="shared" si="28"/>
        <v>281350</v>
      </c>
      <c r="W66" s="70">
        <f t="shared" si="28"/>
        <v>11000</v>
      </c>
      <c r="X66" s="70">
        <f t="shared" si="28"/>
        <v>41000</v>
      </c>
      <c r="Y66" s="70">
        <f t="shared" si="28"/>
        <v>11000</v>
      </c>
      <c r="Z66" s="70">
        <f t="shared" si="28"/>
        <v>17000</v>
      </c>
      <c r="AA66" s="70">
        <f t="shared" si="28"/>
        <v>37000</v>
      </c>
      <c r="AB66" s="70">
        <f t="shared" si="28"/>
        <v>17000</v>
      </c>
      <c r="AC66" s="70">
        <f t="shared" si="28"/>
        <v>17000</v>
      </c>
      <c r="AD66" s="70">
        <f t="shared" si="28"/>
        <v>67000</v>
      </c>
      <c r="AE66" s="70">
        <f t="shared" si="28"/>
        <v>961004.21</v>
      </c>
      <c r="AF66" s="40"/>
    </row>
    <row r="67" spans="1:37" ht="15.6" customHeight="1" x14ac:dyDescent="0.3">
      <c r="A67" s="1131"/>
      <c r="B67" s="1157" t="s">
        <v>2</v>
      </c>
      <c r="C67" s="1135" t="s">
        <v>195</v>
      </c>
      <c r="D67" s="206"/>
      <c r="E67" s="207">
        <f t="shared" ref="E67:AE67" si="29">SUM(E68:E73)</f>
        <v>626000</v>
      </c>
      <c r="F67" s="207">
        <f t="shared" si="29"/>
        <v>0</v>
      </c>
      <c r="G67" s="207">
        <f t="shared" si="29"/>
        <v>626000</v>
      </c>
      <c r="H67" s="207">
        <f t="shared" si="29"/>
        <v>0</v>
      </c>
      <c r="I67" s="207">
        <f t="shared" si="29"/>
        <v>0</v>
      </c>
      <c r="J67" s="207">
        <f t="shared" si="29"/>
        <v>0</v>
      </c>
      <c r="K67" s="207">
        <f t="shared" si="29"/>
        <v>15000</v>
      </c>
      <c r="L67" s="207">
        <f t="shared" si="29"/>
        <v>15000</v>
      </c>
      <c r="M67" s="207">
        <f t="shared" si="29"/>
        <v>50000</v>
      </c>
      <c r="N67" s="207">
        <f t="shared" si="29"/>
        <v>41000</v>
      </c>
      <c r="O67" s="207">
        <f t="shared" si="29"/>
        <v>11000</v>
      </c>
      <c r="P67" s="207">
        <f t="shared" si="29"/>
        <v>11000</v>
      </c>
      <c r="Q67" s="207">
        <f t="shared" si="29"/>
        <v>76000</v>
      </c>
      <c r="R67" s="207">
        <f t="shared" si="29"/>
        <v>11000</v>
      </c>
      <c r="S67" s="207">
        <f t="shared" si="29"/>
        <v>230000</v>
      </c>
      <c r="T67" s="207">
        <f t="shared" si="29"/>
        <v>11000</v>
      </c>
      <c r="U67" s="207">
        <f t="shared" si="29"/>
        <v>76000</v>
      </c>
      <c r="V67" s="207">
        <f t="shared" si="29"/>
        <v>91000</v>
      </c>
      <c r="W67" s="207">
        <f t="shared" si="29"/>
        <v>11000</v>
      </c>
      <c r="X67" s="207">
        <f t="shared" si="29"/>
        <v>41000</v>
      </c>
      <c r="Y67" s="207">
        <f t="shared" si="29"/>
        <v>11000</v>
      </c>
      <c r="Z67" s="207">
        <f t="shared" si="29"/>
        <v>17000</v>
      </c>
      <c r="AA67" s="207">
        <f t="shared" si="29"/>
        <v>37000</v>
      </c>
      <c r="AB67" s="207">
        <f t="shared" si="29"/>
        <v>17000</v>
      </c>
      <c r="AC67" s="207">
        <f t="shared" si="29"/>
        <v>17000</v>
      </c>
      <c r="AD67" s="207">
        <f t="shared" si="29"/>
        <v>67000</v>
      </c>
      <c r="AE67" s="207">
        <f t="shared" si="29"/>
        <v>396000</v>
      </c>
      <c r="AF67" s="211"/>
    </row>
    <row r="68" spans="1:37" s="257" customFormat="1" ht="21.6" customHeight="1" x14ac:dyDescent="0.3">
      <c r="A68" s="1131"/>
      <c r="B68" s="1158"/>
      <c r="C68" s="1136"/>
      <c r="D68" s="197" t="s">
        <v>117</v>
      </c>
      <c r="E68" s="254">
        <f t="shared" ref="E68:E73" si="30">+S68+AE68</f>
        <v>30000</v>
      </c>
      <c r="F68" s="254">
        <v>0</v>
      </c>
      <c r="G68" s="255">
        <f t="shared" ref="G68:G77" si="31">+E68+F68</f>
        <v>30000</v>
      </c>
      <c r="H68" s="252"/>
      <c r="I68" s="252"/>
      <c r="J68" s="252"/>
      <c r="K68" s="252"/>
      <c r="L68" s="252"/>
      <c r="M68" s="252"/>
      <c r="N68" s="252"/>
      <c r="O68" s="252"/>
      <c r="P68" s="252"/>
      <c r="Q68" s="252"/>
      <c r="R68" s="252"/>
      <c r="S68" s="253">
        <f t="shared" ref="S68:S73" si="32">SUM(H68:R68)</f>
        <v>0</v>
      </c>
      <c r="T68" s="264"/>
      <c r="U68" s="252"/>
      <c r="V68" s="252"/>
      <c r="W68" s="252"/>
      <c r="X68" s="252"/>
      <c r="Y68" s="252"/>
      <c r="Z68" s="559">
        <v>6000</v>
      </c>
      <c r="AA68" s="559">
        <v>6000</v>
      </c>
      <c r="AB68" s="559">
        <v>6000</v>
      </c>
      <c r="AC68" s="559">
        <v>6000</v>
      </c>
      <c r="AD68" s="559">
        <v>6000</v>
      </c>
      <c r="AE68" s="253">
        <f t="shared" ref="AE68:AE73" si="33">SUM(T68:AD68)</f>
        <v>30000</v>
      </c>
      <c r="AF68" s="256" t="s">
        <v>185</v>
      </c>
      <c r="AJ68" s="262"/>
      <c r="AK68" s="262"/>
    </row>
    <row r="69" spans="1:37" s="4" customFormat="1" ht="43.2" x14ac:dyDescent="0.3">
      <c r="A69" s="1131"/>
      <c r="B69" s="1158"/>
      <c r="C69" s="1136"/>
      <c r="D69" s="2" t="s">
        <v>197</v>
      </c>
      <c r="E69" s="23">
        <f t="shared" si="30"/>
        <v>60000</v>
      </c>
      <c r="F69" s="23">
        <v>0</v>
      </c>
      <c r="G69" s="82">
        <f t="shared" si="31"/>
        <v>60000</v>
      </c>
      <c r="H69" s="73"/>
      <c r="I69" s="73"/>
      <c r="J69" s="73"/>
      <c r="K69" s="73"/>
      <c r="L69" s="73"/>
      <c r="M69" s="73"/>
      <c r="N69" s="569">
        <v>30000</v>
      </c>
      <c r="O69" s="73"/>
      <c r="P69" s="73"/>
      <c r="Q69" s="73"/>
      <c r="R69" s="73"/>
      <c r="S69" s="74">
        <f t="shared" si="32"/>
        <v>30000</v>
      </c>
      <c r="T69" s="73"/>
      <c r="U69" s="73"/>
      <c r="V69" s="73">
        <v>30000</v>
      </c>
      <c r="W69" s="73"/>
      <c r="X69" s="73"/>
      <c r="Y69" s="73"/>
      <c r="Z69" s="73"/>
      <c r="AA69" s="73"/>
      <c r="AB69" s="73"/>
      <c r="AC69" s="73"/>
      <c r="AD69" s="73"/>
      <c r="AE69" s="74">
        <f t="shared" si="33"/>
        <v>30000</v>
      </c>
      <c r="AF69" s="24" t="s">
        <v>218</v>
      </c>
      <c r="AI69" s="84"/>
      <c r="AJ69" s="84"/>
      <c r="AK69" s="84"/>
    </row>
    <row r="70" spans="1:37" s="4" customFormat="1" ht="55.5" customHeight="1" x14ac:dyDescent="0.3">
      <c r="A70" s="1131"/>
      <c r="B70" s="1158"/>
      <c r="C70" s="1136"/>
      <c r="D70" s="2" t="s">
        <v>198</v>
      </c>
      <c r="E70" s="23">
        <f t="shared" si="30"/>
        <v>150000</v>
      </c>
      <c r="F70" s="23">
        <v>0</v>
      </c>
      <c r="G70" s="82">
        <f t="shared" si="31"/>
        <v>150000</v>
      </c>
      <c r="H70" s="73"/>
      <c r="I70" s="73"/>
      <c r="J70" s="73"/>
      <c r="K70" s="73"/>
      <c r="L70" s="73"/>
      <c r="M70" s="73"/>
      <c r="N70" s="73"/>
      <c r="O70" s="73"/>
      <c r="P70" s="73"/>
      <c r="Q70" s="73">
        <v>50000</v>
      </c>
      <c r="R70" s="73"/>
      <c r="S70" s="74">
        <f t="shared" si="32"/>
        <v>50000</v>
      </c>
      <c r="T70" s="73"/>
      <c r="U70" s="73"/>
      <c r="V70" s="73">
        <v>50000</v>
      </c>
      <c r="W70" s="73"/>
      <c r="X70" s="73"/>
      <c r="Y70" s="73"/>
      <c r="Z70" s="73"/>
      <c r="AA70" s="73"/>
      <c r="AB70" s="73"/>
      <c r="AC70" s="73"/>
      <c r="AD70" s="73">
        <v>50000</v>
      </c>
      <c r="AE70" s="74">
        <f t="shared" si="33"/>
        <v>100000</v>
      </c>
      <c r="AF70" s="24" t="s">
        <v>218</v>
      </c>
      <c r="AJ70" s="84"/>
      <c r="AK70" s="84"/>
    </row>
    <row r="71" spans="1:37" s="4" customFormat="1" ht="51" customHeight="1" x14ac:dyDescent="0.3">
      <c r="A71" s="1131"/>
      <c r="B71" s="1158"/>
      <c r="C71" s="1136"/>
      <c r="D71" s="2" t="s">
        <v>199</v>
      </c>
      <c r="E71" s="23">
        <f t="shared" si="30"/>
        <v>120000</v>
      </c>
      <c r="F71" s="23">
        <v>0</v>
      </c>
      <c r="G71" s="82">
        <f t="shared" si="31"/>
        <v>120000</v>
      </c>
      <c r="H71" s="73"/>
      <c r="I71" s="73"/>
      <c r="J71" s="73"/>
      <c r="K71" s="569">
        <v>15000</v>
      </c>
      <c r="L71" s="659">
        <v>15000</v>
      </c>
      <c r="M71" s="569">
        <v>15000</v>
      </c>
      <c r="N71" s="571"/>
      <c r="O71" s="73"/>
      <c r="Q71" s="73">
        <v>15000</v>
      </c>
      <c r="R71" s="73"/>
      <c r="S71" s="74">
        <f t="shared" si="32"/>
        <v>60000</v>
      </c>
      <c r="T71" s="73"/>
      <c r="U71" s="73">
        <v>20000</v>
      </c>
      <c r="V71" s="73"/>
      <c r="W71" s="73"/>
      <c r="X71" s="73">
        <v>20000</v>
      </c>
      <c r="Y71" s="73"/>
      <c r="Z71" s="73"/>
      <c r="AA71" s="73">
        <v>20000</v>
      </c>
      <c r="AB71" s="73"/>
      <c r="AC71" s="73"/>
      <c r="AD71" s="73"/>
      <c r="AE71" s="74">
        <f t="shared" si="33"/>
        <v>60000</v>
      </c>
      <c r="AF71" s="24" t="s">
        <v>218</v>
      </c>
      <c r="AJ71" s="84"/>
      <c r="AK71" s="84"/>
    </row>
    <row r="72" spans="1:37" s="4" customFormat="1" ht="57.6" x14ac:dyDescent="0.3">
      <c r="A72" s="1131"/>
      <c r="B72" s="1158"/>
      <c r="C72" s="1136"/>
      <c r="D72" s="2" t="s">
        <v>196</v>
      </c>
      <c r="E72" s="23">
        <f t="shared" si="30"/>
        <v>90000</v>
      </c>
      <c r="F72" s="23">
        <v>0</v>
      </c>
      <c r="G72" s="82">
        <f t="shared" si="31"/>
        <v>90000</v>
      </c>
      <c r="H72" s="73"/>
      <c r="I72" s="73"/>
      <c r="J72" s="73"/>
      <c r="K72" s="73"/>
      <c r="L72" s="73"/>
      <c r="M72" s="569">
        <v>35000</v>
      </c>
      <c r="N72" s="569"/>
      <c r="O72" s="73"/>
      <c r="P72" s="73"/>
      <c r="Q72" s="73"/>
      <c r="R72" s="73"/>
      <c r="S72" s="74">
        <f t="shared" si="32"/>
        <v>35000</v>
      </c>
      <c r="T72" s="73"/>
      <c r="U72" s="73">
        <v>45000</v>
      </c>
      <c r="V72" s="73"/>
      <c r="W72" s="73"/>
      <c r="X72" s="73">
        <v>10000</v>
      </c>
      <c r="Y72" s="73"/>
      <c r="Z72" s="73"/>
      <c r="AA72" s="73"/>
      <c r="AB72" s="73"/>
      <c r="AC72" s="73"/>
      <c r="AD72" s="73"/>
      <c r="AE72" s="74">
        <f t="shared" si="33"/>
        <v>55000</v>
      </c>
      <c r="AF72" s="24" t="s">
        <v>218</v>
      </c>
      <c r="AJ72" s="84"/>
      <c r="AK72" s="84"/>
    </row>
    <row r="73" spans="1:37" s="257" customFormat="1" ht="33.75" customHeight="1" x14ac:dyDescent="0.3">
      <c r="A73" s="1131"/>
      <c r="B73" s="1159"/>
      <c r="C73" s="1137"/>
      <c r="D73" s="563" t="s">
        <v>605</v>
      </c>
      <c r="E73" s="254">
        <f t="shared" si="30"/>
        <v>176000</v>
      </c>
      <c r="F73" s="254">
        <v>0</v>
      </c>
      <c r="G73" s="255">
        <f t="shared" si="31"/>
        <v>176000</v>
      </c>
      <c r="H73" s="252"/>
      <c r="I73" s="252"/>
      <c r="J73" s="562"/>
      <c r="K73" s="562"/>
      <c r="L73" s="562"/>
      <c r="M73" s="562"/>
      <c r="N73" s="562">
        <v>11000</v>
      </c>
      <c r="O73" s="562">
        <v>11000</v>
      </c>
      <c r="P73" s="562">
        <v>11000</v>
      </c>
      <c r="Q73" s="562">
        <v>11000</v>
      </c>
      <c r="R73" s="562">
        <v>11000</v>
      </c>
      <c r="S73" s="253">
        <f t="shared" si="32"/>
        <v>55000</v>
      </c>
      <c r="T73" s="562">
        <v>11000</v>
      </c>
      <c r="U73" s="562">
        <v>11000</v>
      </c>
      <c r="V73" s="562">
        <v>11000</v>
      </c>
      <c r="W73" s="562">
        <v>11000</v>
      </c>
      <c r="X73" s="562">
        <v>11000</v>
      </c>
      <c r="Y73" s="562">
        <v>11000</v>
      </c>
      <c r="Z73" s="562">
        <v>11000</v>
      </c>
      <c r="AA73" s="562">
        <v>11000</v>
      </c>
      <c r="AB73" s="562">
        <v>11000</v>
      </c>
      <c r="AC73" s="562">
        <v>11000</v>
      </c>
      <c r="AD73" s="562">
        <v>11000</v>
      </c>
      <c r="AE73" s="253">
        <f t="shared" si="33"/>
        <v>121000</v>
      </c>
      <c r="AF73" s="256" t="s">
        <v>185</v>
      </c>
      <c r="AI73" s="262"/>
      <c r="AJ73" s="262"/>
      <c r="AK73" s="262"/>
    </row>
    <row r="74" spans="1:37" s="67" customFormat="1" ht="16.5" customHeight="1" x14ac:dyDescent="0.3">
      <c r="A74" s="1131"/>
      <c r="B74" s="1152" t="s">
        <v>3</v>
      </c>
      <c r="C74" s="1199" t="s">
        <v>538</v>
      </c>
      <c r="D74" s="225"/>
      <c r="E74" s="204">
        <f>SUM(E75:E77)</f>
        <v>0</v>
      </c>
      <c r="F74" s="204">
        <f>SUM(F75:F77)</f>
        <v>799704.21</v>
      </c>
      <c r="G74" s="204">
        <f t="shared" si="31"/>
        <v>799704.21</v>
      </c>
      <c r="H74" s="204">
        <f t="shared" ref="H74:AE74" si="34">SUM(H75:H77)</f>
        <v>0</v>
      </c>
      <c r="I74" s="204">
        <f t="shared" si="34"/>
        <v>0</v>
      </c>
      <c r="J74" s="204">
        <f t="shared" si="34"/>
        <v>0</v>
      </c>
      <c r="K74" s="204">
        <f t="shared" si="34"/>
        <v>0</v>
      </c>
      <c r="L74" s="204">
        <f t="shared" si="34"/>
        <v>45000</v>
      </c>
      <c r="M74" s="204">
        <f t="shared" si="34"/>
        <v>0</v>
      </c>
      <c r="N74" s="204">
        <f t="shared" si="34"/>
        <v>0</v>
      </c>
      <c r="O74" s="204">
        <f t="shared" si="34"/>
        <v>0</v>
      </c>
      <c r="P74" s="204">
        <f t="shared" si="34"/>
        <v>0</v>
      </c>
      <c r="Q74" s="204">
        <f>SUM(Q75:Q77)</f>
        <v>189700</v>
      </c>
      <c r="R74" s="204">
        <f t="shared" si="34"/>
        <v>0</v>
      </c>
      <c r="S74" s="204">
        <f t="shared" si="34"/>
        <v>234700</v>
      </c>
      <c r="T74" s="204">
        <f t="shared" si="34"/>
        <v>0</v>
      </c>
      <c r="U74" s="204">
        <f t="shared" si="34"/>
        <v>374654.20999999996</v>
      </c>
      <c r="V74" s="204">
        <f t="shared" si="34"/>
        <v>190350</v>
      </c>
      <c r="W74" s="204">
        <f t="shared" si="34"/>
        <v>0</v>
      </c>
      <c r="X74" s="204">
        <f t="shared" si="34"/>
        <v>0</v>
      </c>
      <c r="Y74" s="204">
        <f t="shared" si="34"/>
        <v>0</v>
      </c>
      <c r="Z74" s="204">
        <f t="shared" si="34"/>
        <v>0</v>
      </c>
      <c r="AA74" s="204">
        <f t="shared" si="34"/>
        <v>0</v>
      </c>
      <c r="AB74" s="204">
        <f t="shared" si="34"/>
        <v>0</v>
      </c>
      <c r="AC74" s="204">
        <f t="shared" si="34"/>
        <v>0</v>
      </c>
      <c r="AD74" s="204">
        <f t="shared" si="34"/>
        <v>0</v>
      </c>
      <c r="AE74" s="204">
        <f t="shared" si="34"/>
        <v>565004.21</v>
      </c>
      <c r="AF74" s="226"/>
      <c r="AJ74" s="263"/>
      <c r="AK74" s="263"/>
    </row>
    <row r="75" spans="1:37" s="4" customFormat="1" ht="36.75" customHeight="1" x14ac:dyDescent="0.3">
      <c r="A75" s="1131"/>
      <c r="B75" s="1198"/>
      <c r="C75" s="1200"/>
      <c r="D75" s="2" t="s">
        <v>200</v>
      </c>
      <c r="E75" s="23"/>
      <c r="F75" s="23">
        <f>+S75+AE75</f>
        <v>189700</v>
      </c>
      <c r="G75" s="82">
        <f t="shared" si="31"/>
        <v>189700</v>
      </c>
      <c r="H75" s="73"/>
      <c r="I75" s="73"/>
      <c r="J75" s="73"/>
      <c r="K75" s="73"/>
      <c r="L75" s="73"/>
      <c r="M75" s="73"/>
      <c r="N75" s="73"/>
      <c r="P75" s="73"/>
      <c r="Q75" s="73">
        <v>189700</v>
      </c>
      <c r="R75" s="73"/>
      <c r="S75" s="643">
        <f>SUM(H75:R75)</f>
        <v>189700</v>
      </c>
      <c r="T75" s="73"/>
      <c r="U75" s="73"/>
      <c r="V75" s="73"/>
      <c r="W75" s="73"/>
      <c r="X75" s="73"/>
      <c r="Y75" s="73"/>
      <c r="Z75" s="73"/>
      <c r="AA75" s="73"/>
      <c r="AB75" s="73"/>
      <c r="AC75" s="73"/>
      <c r="AD75" s="73"/>
      <c r="AE75" s="74">
        <f>SUM(T75:AD75)</f>
        <v>0</v>
      </c>
      <c r="AF75" s="24" t="s">
        <v>218</v>
      </c>
      <c r="AJ75" s="84"/>
      <c r="AK75" s="84"/>
    </row>
    <row r="76" spans="1:37" s="4" customFormat="1" ht="28.5" customHeight="1" x14ac:dyDescent="0.3">
      <c r="A76" s="1131"/>
      <c r="B76" s="1198"/>
      <c r="C76" s="1200"/>
      <c r="D76" s="2" t="s">
        <v>758</v>
      </c>
      <c r="E76" s="23"/>
      <c r="F76" s="23">
        <f>+S76+AE76</f>
        <v>505004.20999999996</v>
      </c>
      <c r="G76" s="82">
        <f t="shared" si="31"/>
        <v>505004.20999999996</v>
      </c>
      <c r="H76" s="73"/>
      <c r="I76" s="73"/>
      <c r="J76" s="73"/>
      <c r="K76" s="73"/>
      <c r="L76" s="73">
        <v>45000</v>
      </c>
      <c r="M76" s="73"/>
      <c r="N76" s="73"/>
      <c r="O76" s="73"/>
      <c r="P76" s="73"/>
      <c r="Q76" s="73"/>
      <c r="R76" s="73"/>
      <c r="S76" s="643">
        <f>SUM(H76:R76)</f>
        <v>45000</v>
      </c>
      <c r="T76" s="73"/>
      <c r="U76" s="73">
        <v>269654.20999999996</v>
      </c>
      <c r="V76" s="73">
        <f>235350-45000</f>
        <v>190350</v>
      </c>
      <c r="W76" s="73"/>
      <c r="X76" s="73"/>
      <c r="Y76" s="73"/>
      <c r="Z76" s="73"/>
      <c r="AA76" s="73"/>
      <c r="AB76" s="73"/>
      <c r="AC76" s="73"/>
      <c r="AD76" s="73"/>
      <c r="AE76" s="74">
        <f>SUM(T76:AD76)</f>
        <v>460004.20999999996</v>
      </c>
      <c r="AF76" s="24" t="s">
        <v>218</v>
      </c>
      <c r="AJ76" s="84"/>
      <c r="AK76" s="84"/>
    </row>
    <row r="77" spans="1:37" s="4" customFormat="1" ht="51.75" customHeight="1" x14ac:dyDescent="0.3">
      <c r="A77" s="1131"/>
      <c r="B77" s="1153"/>
      <c r="C77" s="1201"/>
      <c r="D77" s="2" t="s">
        <v>201</v>
      </c>
      <c r="E77" s="23"/>
      <c r="F77" s="23">
        <f>+S77+AE77</f>
        <v>105000</v>
      </c>
      <c r="G77" s="82">
        <f t="shared" si="31"/>
        <v>105000</v>
      </c>
      <c r="H77" s="73"/>
      <c r="I77" s="73"/>
      <c r="J77" s="73"/>
      <c r="K77" s="73"/>
      <c r="L77" s="73"/>
      <c r="M77" s="73"/>
      <c r="N77" s="73"/>
      <c r="O77" s="73"/>
      <c r="P77" s="73"/>
      <c r="Q77" s="73"/>
      <c r="R77" s="73"/>
      <c r="S77" s="643">
        <f>SUM(H77:R77)</f>
        <v>0</v>
      </c>
      <c r="T77" s="73"/>
      <c r="U77" s="73">
        <v>105000</v>
      </c>
      <c r="V77" s="73"/>
      <c r="W77" s="73"/>
      <c r="X77" s="73"/>
      <c r="Y77" s="73"/>
      <c r="Z77" s="73"/>
      <c r="AA77" s="73"/>
      <c r="AB77" s="73"/>
      <c r="AC77" s="73"/>
      <c r="AD77" s="73"/>
      <c r="AE77" s="74">
        <f>SUM(T77:AD77)</f>
        <v>105000</v>
      </c>
      <c r="AF77" s="24" t="s">
        <v>218</v>
      </c>
      <c r="AJ77" s="84"/>
      <c r="AK77" s="84"/>
    </row>
    <row r="78" spans="1:37" x14ac:dyDescent="0.3">
      <c r="A78" s="1088" t="s">
        <v>221</v>
      </c>
      <c r="B78" s="40"/>
      <c r="C78" s="108"/>
      <c r="D78" s="108"/>
      <c r="E78" s="70">
        <f>+E79+E82</f>
        <v>106000</v>
      </c>
      <c r="F78" s="70">
        <f t="shared" ref="F78:AE78" si="35">+F79+F82</f>
        <v>75000</v>
      </c>
      <c r="G78" s="70">
        <f t="shared" si="35"/>
        <v>181000</v>
      </c>
      <c r="H78" s="70">
        <f t="shared" si="35"/>
        <v>0</v>
      </c>
      <c r="I78" s="70">
        <f t="shared" si="35"/>
        <v>0</v>
      </c>
      <c r="J78" s="70">
        <f t="shared" si="35"/>
        <v>0</v>
      </c>
      <c r="K78" s="70">
        <f t="shared" si="35"/>
        <v>0</v>
      </c>
      <c r="L78" s="70">
        <f t="shared" si="35"/>
        <v>0</v>
      </c>
      <c r="M78" s="70">
        <f t="shared" si="35"/>
        <v>0</v>
      </c>
      <c r="N78" s="70">
        <f t="shared" si="35"/>
        <v>40000</v>
      </c>
      <c r="O78" s="70">
        <f t="shared" si="35"/>
        <v>0</v>
      </c>
      <c r="P78" s="70">
        <f t="shared" si="35"/>
        <v>66000</v>
      </c>
      <c r="Q78" s="70">
        <f t="shared" si="35"/>
        <v>0</v>
      </c>
      <c r="R78" s="70">
        <f t="shared" si="35"/>
        <v>0</v>
      </c>
      <c r="S78" s="70">
        <f t="shared" si="35"/>
        <v>106000</v>
      </c>
      <c r="T78" s="70">
        <f t="shared" si="35"/>
        <v>0</v>
      </c>
      <c r="U78" s="70">
        <f t="shared" si="35"/>
        <v>75000</v>
      </c>
      <c r="V78" s="70">
        <f t="shared" si="35"/>
        <v>0</v>
      </c>
      <c r="W78" s="70">
        <f t="shared" si="35"/>
        <v>0</v>
      </c>
      <c r="X78" s="70">
        <f t="shared" si="35"/>
        <v>0</v>
      </c>
      <c r="Y78" s="70">
        <f t="shared" si="35"/>
        <v>0</v>
      </c>
      <c r="Z78" s="70">
        <f t="shared" si="35"/>
        <v>0</v>
      </c>
      <c r="AA78" s="70">
        <f t="shared" si="35"/>
        <v>0</v>
      </c>
      <c r="AB78" s="70">
        <f t="shared" si="35"/>
        <v>0</v>
      </c>
      <c r="AC78" s="70">
        <f t="shared" si="35"/>
        <v>0</v>
      </c>
      <c r="AD78" s="70">
        <f t="shared" si="35"/>
        <v>0</v>
      </c>
      <c r="AE78" s="70">
        <f t="shared" si="35"/>
        <v>75000</v>
      </c>
      <c r="AF78" s="70">
        <f>+AF79</f>
        <v>0</v>
      </c>
    </row>
    <row r="79" spans="1:37" ht="25.5" customHeight="1" x14ac:dyDescent="0.3">
      <c r="A79" s="1088"/>
      <c r="B79" s="1192" t="s">
        <v>2</v>
      </c>
      <c r="C79" s="1075" t="s">
        <v>389</v>
      </c>
      <c r="D79" s="206"/>
      <c r="E79" s="207">
        <f>SUM(E80:E81)</f>
        <v>106000</v>
      </c>
      <c r="F79" s="207">
        <f>SUM(F80:F81)</f>
        <v>0</v>
      </c>
      <c r="G79" s="207">
        <f>SUM(G80:G81)</f>
        <v>106000</v>
      </c>
      <c r="H79" s="207">
        <f>SUM(H80:H81)</f>
        <v>0</v>
      </c>
      <c r="I79" s="207">
        <f t="shared" ref="I79:AF79" si="36">SUM(I80:I81)</f>
        <v>0</v>
      </c>
      <c r="J79" s="207">
        <f t="shared" si="36"/>
        <v>0</v>
      </c>
      <c r="K79" s="207">
        <f>SUM(K80:K81)</f>
        <v>0</v>
      </c>
      <c r="L79" s="207">
        <f t="shared" si="36"/>
        <v>0</v>
      </c>
      <c r="M79" s="207">
        <f t="shared" si="36"/>
        <v>0</v>
      </c>
      <c r="N79" s="207">
        <f t="shared" si="36"/>
        <v>40000</v>
      </c>
      <c r="O79" s="207">
        <f t="shared" si="36"/>
        <v>0</v>
      </c>
      <c r="P79" s="207">
        <f t="shared" si="36"/>
        <v>66000</v>
      </c>
      <c r="Q79" s="207">
        <f t="shared" si="36"/>
        <v>0</v>
      </c>
      <c r="R79" s="207">
        <f t="shared" si="36"/>
        <v>0</v>
      </c>
      <c r="S79" s="207">
        <f t="shared" si="36"/>
        <v>106000</v>
      </c>
      <c r="T79" s="207">
        <f t="shared" si="36"/>
        <v>0</v>
      </c>
      <c r="U79" s="207">
        <f t="shared" si="36"/>
        <v>0</v>
      </c>
      <c r="V79" s="207">
        <f t="shared" si="36"/>
        <v>0</v>
      </c>
      <c r="W79" s="207">
        <f t="shared" si="36"/>
        <v>0</v>
      </c>
      <c r="X79" s="207">
        <f t="shared" si="36"/>
        <v>0</v>
      </c>
      <c r="Y79" s="207">
        <f t="shared" si="36"/>
        <v>0</v>
      </c>
      <c r="Z79" s="207">
        <f t="shared" si="36"/>
        <v>0</v>
      </c>
      <c r="AA79" s="207">
        <f t="shared" si="36"/>
        <v>0</v>
      </c>
      <c r="AB79" s="207">
        <f t="shared" si="36"/>
        <v>0</v>
      </c>
      <c r="AC79" s="207">
        <f t="shared" si="36"/>
        <v>0</v>
      </c>
      <c r="AD79" s="207">
        <f t="shared" si="36"/>
        <v>0</v>
      </c>
      <c r="AE79" s="207">
        <f t="shared" si="36"/>
        <v>0</v>
      </c>
      <c r="AF79" s="72">
        <f t="shared" si="36"/>
        <v>0</v>
      </c>
    </row>
    <row r="80" spans="1:37" s="4" customFormat="1" ht="33" customHeight="1" x14ac:dyDescent="0.3">
      <c r="A80" s="1088"/>
      <c r="B80" s="1193"/>
      <c r="C80" s="1076"/>
      <c r="D80" s="2" t="s">
        <v>202</v>
      </c>
      <c r="E80" s="23">
        <f>+S80+AE80</f>
        <v>40000</v>
      </c>
      <c r="F80" s="23">
        <v>0</v>
      </c>
      <c r="G80" s="82">
        <f>+E80+F80</f>
        <v>40000</v>
      </c>
      <c r="H80" s="73"/>
      <c r="I80" s="73"/>
      <c r="J80" s="73"/>
      <c r="K80" s="73"/>
      <c r="L80" s="73"/>
      <c r="M80" s="73"/>
      <c r="N80" s="572">
        <v>40000</v>
      </c>
      <c r="O80" s="178"/>
      <c r="P80" s="73"/>
      <c r="Q80" s="178"/>
      <c r="R80" s="73"/>
      <c r="S80" s="74">
        <f>SUM(H80:R80)</f>
        <v>40000</v>
      </c>
      <c r="T80" s="73"/>
      <c r="U80" s="73"/>
      <c r="V80" s="73"/>
      <c r="W80" s="73"/>
      <c r="X80" s="73"/>
      <c r="Y80" s="73"/>
      <c r="Z80" s="73"/>
      <c r="AA80" s="73"/>
      <c r="AB80" s="73"/>
      <c r="AC80" s="73"/>
      <c r="AD80" s="73"/>
      <c r="AE80" s="74">
        <f>SUM(T80:AD80)</f>
        <v>0</v>
      </c>
      <c r="AF80" s="24" t="s">
        <v>220</v>
      </c>
      <c r="AI80" s="84"/>
      <c r="AJ80" s="84"/>
      <c r="AK80" s="84"/>
    </row>
    <row r="81" spans="1:37" s="4" customFormat="1" ht="33" customHeight="1" x14ac:dyDescent="0.3">
      <c r="A81" s="1088"/>
      <c r="B81" s="1197"/>
      <c r="C81" s="1077"/>
      <c r="D81" s="2" t="s">
        <v>203</v>
      </c>
      <c r="E81" s="23">
        <f>+S81+AE81</f>
        <v>66000</v>
      </c>
      <c r="F81" s="23">
        <v>0</v>
      </c>
      <c r="G81" s="82">
        <f>+E81+F81</f>
        <v>66000</v>
      </c>
      <c r="H81" s="73"/>
      <c r="I81" s="73"/>
      <c r="J81" s="73"/>
      <c r="K81" s="73"/>
      <c r="L81" s="73"/>
      <c r="M81" s="73"/>
      <c r="N81" s="73"/>
      <c r="O81" s="73"/>
      <c r="P81" s="73">
        <v>66000</v>
      </c>
      <c r="Q81" s="178"/>
      <c r="R81" s="73"/>
      <c r="S81" s="74">
        <f>SUM(H81:R81)</f>
        <v>66000</v>
      </c>
      <c r="T81" s="73"/>
      <c r="U81" s="73"/>
      <c r="V81" s="73"/>
      <c r="W81" s="73"/>
      <c r="X81" s="73"/>
      <c r="Y81" s="73"/>
      <c r="Z81" s="73"/>
      <c r="AA81" s="73"/>
      <c r="AB81" s="73"/>
      <c r="AC81" s="73"/>
      <c r="AD81" s="73"/>
      <c r="AE81" s="74">
        <f>SUM(T81:AD81)</f>
        <v>0</v>
      </c>
      <c r="AF81" s="24" t="s">
        <v>220</v>
      </c>
      <c r="AI81" s="84"/>
      <c r="AJ81" s="84"/>
      <c r="AK81" s="84"/>
    </row>
    <row r="82" spans="1:37" s="4" customFormat="1" ht="18" customHeight="1" x14ac:dyDescent="0.3">
      <c r="A82" s="1088"/>
      <c r="B82" s="1202" t="s">
        <v>3</v>
      </c>
      <c r="C82" s="1094" t="s">
        <v>390</v>
      </c>
      <c r="D82" s="201"/>
      <c r="E82" s="202">
        <f>SUM(E83)</f>
        <v>0</v>
      </c>
      <c r="F82" s="202">
        <f t="shared" ref="F82:AF82" si="37">SUM(F83)</f>
        <v>75000</v>
      </c>
      <c r="G82" s="202">
        <f t="shared" si="37"/>
        <v>75000</v>
      </c>
      <c r="H82" s="202">
        <f t="shared" si="37"/>
        <v>0</v>
      </c>
      <c r="I82" s="202">
        <f t="shared" si="37"/>
        <v>0</v>
      </c>
      <c r="J82" s="202">
        <f t="shared" si="37"/>
        <v>0</v>
      </c>
      <c r="K82" s="202">
        <f t="shared" si="37"/>
        <v>0</v>
      </c>
      <c r="L82" s="202">
        <f t="shared" si="37"/>
        <v>0</v>
      </c>
      <c r="M82" s="202">
        <f t="shared" si="37"/>
        <v>0</v>
      </c>
      <c r="N82" s="202">
        <f t="shared" si="37"/>
        <v>0</v>
      </c>
      <c r="O82" s="202">
        <f t="shared" si="37"/>
        <v>0</v>
      </c>
      <c r="P82" s="202">
        <f t="shared" si="37"/>
        <v>0</v>
      </c>
      <c r="Q82" s="202">
        <f t="shared" si="37"/>
        <v>0</v>
      </c>
      <c r="R82" s="202">
        <f t="shared" si="37"/>
        <v>0</v>
      </c>
      <c r="S82" s="202">
        <f t="shared" si="37"/>
        <v>0</v>
      </c>
      <c r="T82" s="202">
        <f t="shared" si="37"/>
        <v>0</v>
      </c>
      <c r="U82" s="202">
        <f t="shared" si="37"/>
        <v>75000</v>
      </c>
      <c r="V82" s="202">
        <f t="shared" si="37"/>
        <v>0</v>
      </c>
      <c r="W82" s="202">
        <f t="shared" si="37"/>
        <v>0</v>
      </c>
      <c r="X82" s="202">
        <f t="shared" si="37"/>
        <v>0</v>
      </c>
      <c r="Y82" s="202">
        <f t="shared" si="37"/>
        <v>0</v>
      </c>
      <c r="Z82" s="202">
        <f t="shared" si="37"/>
        <v>0</v>
      </c>
      <c r="AA82" s="114">
        <f t="shared" si="37"/>
        <v>0</v>
      </c>
      <c r="AB82" s="114">
        <f t="shared" si="37"/>
        <v>0</v>
      </c>
      <c r="AC82" s="114">
        <f t="shared" si="37"/>
        <v>0</v>
      </c>
      <c r="AD82" s="114">
        <f t="shared" si="37"/>
        <v>0</v>
      </c>
      <c r="AE82" s="114">
        <f t="shared" si="37"/>
        <v>75000</v>
      </c>
      <c r="AF82" s="114">
        <f t="shared" si="37"/>
        <v>0</v>
      </c>
      <c r="AI82" s="84"/>
      <c r="AJ82" s="84"/>
      <c r="AK82" s="84"/>
    </row>
    <row r="83" spans="1:37" s="4" customFormat="1" ht="58.5" customHeight="1" x14ac:dyDescent="0.3">
      <c r="A83" s="1088"/>
      <c r="B83" s="1202"/>
      <c r="C83" s="1094"/>
      <c r="D83" s="2" t="s">
        <v>204</v>
      </c>
      <c r="E83" s="23">
        <v>0</v>
      </c>
      <c r="F83" s="23">
        <f>+S83+AE83</f>
        <v>75000</v>
      </c>
      <c r="G83" s="82">
        <f>+E83+F83</f>
        <v>75000</v>
      </c>
      <c r="H83" s="73"/>
      <c r="I83" s="73"/>
      <c r="J83" s="73"/>
      <c r="K83" s="73"/>
      <c r="L83" s="73"/>
      <c r="M83" s="73"/>
      <c r="N83" s="73"/>
      <c r="O83" s="73"/>
      <c r="P83" s="73"/>
      <c r="Q83" s="73"/>
      <c r="R83" s="73"/>
      <c r="S83" s="643">
        <f>SUM(H83:R83)</f>
        <v>0</v>
      </c>
      <c r="T83" s="73"/>
      <c r="U83" s="73">
        <v>75000</v>
      </c>
      <c r="V83" s="73"/>
      <c r="W83" s="73"/>
      <c r="X83" s="73"/>
      <c r="Y83" s="73"/>
      <c r="Z83" s="73"/>
      <c r="AA83" s="73"/>
      <c r="AB83" s="73"/>
      <c r="AC83" s="73"/>
      <c r="AD83" s="73"/>
      <c r="AE83" s="74">
        <f>SUM(T83:AD83)</f>
        <v>75000</v>
      </c>
      <c r="AF83" s="24" t="s">
        <v>220</v>
      </c>
      <c r="AI83" s="84"/>
      <c r="AJ83" s="84"/>
      <c r="AK83" s="84"/>
    </row>
    <row r="84" spans="1:37" ht="37.5" customHeight="1" x14ac:dyDescent="0.3">
      <c r="A84" s="1194" t="s">
        <v>96</v>
      </c>
      <c r="B84" s="1195"/>
      <c r="C84" s="1195"/>
      <c r="D84" s="1195"/>
      <c r="E84" s="1195"/>
      <c r="F84" s="1195"/>
      <c r="G84" s="1196"/>
      <c r="H84" s="222"/>
      <c r="I84" s="222"/>
      <c r="J84" s="222"/>
      <c r="K84" s="222"/>
      <c r="L84" s="222"/>
      <c r="M84" s="222"/>
      <c r="N84" s="222"/>
      <c r="O84" s="222"/>
      <c r="P84" s="222"/>
      <c r="Q84" s="222"/>
      <c r="R84" s="222"/>
      <c r="S84" s="222"/>
      <c r="T84" s="222"/>
      <c r="U84" s="222"/>
      <c r="V84" s="222"/>
      <c r="W84" s="222"/>
      <c r="X84" s="222"/>
      <c r="Y84" s="222"/>
      <c r="Z84" s="222"/>
      <c r="AA84" s="222"/>
      <c r="AB84" s="222"/>
      <c r="AC84" s="222"/>
      <c r="AD84" s="222"/>
      <c r="AE84" s="222"/>
      <c r="AF84" s="223"/>
    </row>
    <row r="85" spans="1:37" x14ac:dyDescent="0.3">
      <c r="A85" s="1131" t="s">
        <v>112</v>
      </c>
      <c r="B85" s="40"/>
      <c r="C85" s="108"/>
      <c r="D85" s="108"/>
      <c r="E85" s="70">
        <f>+E86+E92</f>
        <v>363330</v>
      </c>
      <c r="F85" s="70">
        <f t="shared" ref="F85:AE85" si="38">+F86+F92</f>
        <v>342700</v>
      </c>
      <c r="G85" s="70">
        <f t="shared" si="38"/>
        <v>706030</v>
      </c>
      <c r="H85" s="70">
        <f t="shared" si="38"/>
        <v>0</v>
      </c>
      <c r="I85" s="70">
        <f t="shared" si="38"/>
        <v>3330</v>
      </c>
      <c r="J85" s="70">
        <f t="shared" si="38"/>
        <v>0</v>
      </c>
      <c r="K85" s="70">
        <f t="shared" si="38"/>
        <v>1500</v>
      </c>
      <c r="L85" s="70">
        <f t="shared" si="38"/>
        <v>0</v>
      </c>
      <c r="M85" s="70">
        <f t="shared" si="38"/>
        <v>0</v>
      </c>
      <c r="N85" s="70">
        <f t="shared" si="38"/>
        <v>9500</v>
      </c>
      <c r="O85" s="70">
        <f t="shared" si="38"/>
        <v>5000</v>
      </c>
      <c r="P85" s="70">
        <f t="shared" si="38"/>
        <v>2000</v>
      </c>
      <c r="Q85" s="70">
        <f t="shared" si="38"/>
        <v>11000</v>
      </c>
      <c r="R85" s="70">
        <f t="shared" si="38"/>
        <v>0</v>
      </c>
      <c r="S85" s="70">
        <f t="shared" si="38"/>
        <v>32330</v>
      </c>
      <c r="T85" s="70">
        <f t="shared" si="38"/>
        <v>28000</v>
      </c>
      <c r="U85" s="70">
        <f t="shared" si="38"/>
        <v>28000</v>
      </c>
      <c r="V85" s="70">
        <f t="shared" si="38"/>
        <v>39000</v>
      </c>
      <c r="W85" s="70">
        <f t="shared" si="38"/>
        <v>370700</v>
      </c>
      <c r="X85" s="70">
        <f t="shared" si="38"/>
        <v>34000</v>
      </c>
      <c r="Y85" s="70">
        <f t="shared" si="38"/>
        <v>28000</v>
      </c>
      <c r="Z85" s="70">
        <f t="shared" si="38"/>
        <v>28000</v>
      </c>
      <c r="AA85" s="70">
        <f t="shared" si="38"/>
        <v>34000</v>
      </c>
      <c r="AB85" s="70">
        <f t="shared" si="38"/>
        <v>28000</v>
      </c>
      <c r="AC85" s="70">
        <f t="shared" si="38"/>
        <v>28000</v>
      </c>
      <c r="AD85" s="70">
        <f t="shared" si="38"/>
        <v>28000</v>
      </c>
      <c r="AE85" s="70">
        <f t="shared" si="38"/>
        <v>673700</v>
      </c>
      <c r="AF85" s="40"/>
    </row>
    <row r="86" spans="1:37" x14ac:dyDescent="0.3">
      <c r="A86" s="1131"/>
      <c r="B86" s="211"/>
      <c r="C86" s="206"/>
      <c r="D86" s="206"/>
      <c r="E86" s="207">
        <f>SUM(E87:E91)</f>
        <v>363330</v>
      </c>
      <c r="F86" s="207">
        <f>SUM(F87:F91)</f>
        <v>0</v>
      </c>
      <c r="G86" s="207">
        <f>SUM(G87:G91)</f>
        <v>363330</v>
      </c>
      <c r="H86" s="207">
        <f t="shared" ref="H86:AE86" si="39">SUM(H87:H91)</f>
        <v>0</v>
      </c>
      <c r="I86" s="207">
        <f t="shared" si="39"/>
        <v>3330</v>
      </c>
      <c r="J86" s="207">
        <f t="shared" si="39"/>
        <v>0</v>
      </c>
      <c r="K86" s="207">
        <f t="shared" si="39"/>
        <v>1500</v>
      </c>
      <c r="L86" s="207">
        <f t="shared" si="39"/>
        <v>0</v>
      </c>
      <c r="M86" s="207">
        <f t="shared" si="39"/>
        <v>0</v>
      </c>
      <c r="N86" s="207">
        <f t="shared" si="39"/>
        <v>9500</v>
      </c>
      <c r="O86" s="207">
        <f t="shared" si="39"/>
        <v>5000</v>
      </c>
      <c r="P86" s="207">
        <f t="shared" si="39"/>
        <v>2000</v>
      </c>
      <c r="Q86" s="207">
        <f t="shared" si="39"/>
        <v>11000</v>
      </c>
      <c r="R86" s="207">
        <f t="shared" si="39"/>
        <v>0</v>
      </c>
      <c r="S86" s="207">
        <f t="shared" si="39"/>
        <v>32330</v>
      </c>
      <c r="T86" s="207">
        <f t="shared" si="39"/>
        <v>28000</v>
      </c>
      <c r="U86" s="207">
        <f t="shared" si="39"/>
        <v>28000</v>
      </c>
      <c r="V86" s="207">
        <f t="shared" si="39"/>
        <v>39000</v>
      </c>
      <c r="W86" s="207">
        <f t="shared" si="39"/>
        <v>28000</v>
      </c>
      <c r="X86" s="207">
        <f t="shared" si="39"/>
        <v>34000</v>
      </c>
      <c r="Y86" s="207">
        <f t="shared" si="39"/>
        <v>28000</v>
      </c>
      <c r="Z86" s="207">
        <f t="shared" si="39"/>
        <v>28000</v>
      </c>
      <c r="AA86" s="207">
        <f t="shared" si="39"/>
        <v>34000</v>
      </c>
      <c r="AB86" s="207">
        <f t="shared" si="39"/>
        <v>28000</v>
      </c>
      <c r="AC86" s="207">
        <f t="shared" si="39"/>
        <v>28000</v>
      </c>
      <c r="AD86" s="207">
        <f t="shared" si="39"/>
        <v>28000</v>
      </c>
      <c r="AE86" s="207">
        <f t="shared" si="39"/>
        <v>331000</v>
      </c>
      <c r="AF86" s="52"/>
    </row>
    <row r="87" spans="1:37" s="257" customFormat="1" ht="18.75" customHeight="1" x14ac:dyDescent="0.3">
      <c r="A87" s="1131"/>
      <c r="B87" s="1202" t="s">
        <v>2</v>
      </c>
      <c r="C87" s="1094" t="s">
        <v>539</v>
      </c>
      <c r="D87" s="197" t="s">
        <v>116</v>
      </c>
      <c r="E87" s="254">
        <f>+S87+AE87</f>
        <v>121000</v>
      </c>
      <c r="F87" s="254">
        <v>0</v>
      </c>
      <c r="G87" s="255">
        <f>+E87+F87</f>
        <v>121000</v>
      </c>
      <c r="H87" s="252"/>
      <c r="I87" s="252"/>
      <c r="J87" s="252"/>
      <c r="K87" s="252"/>
      <c r="L87" s="252"/>
      <c r="M87" s="252"/>
      <c r="N87" s="252"/>
      <c r="O87" s="252"/>
      <c r="P87" s="252"/>
      <c r="Q87" s="252"/>
      <c r="R87" s="252"/>
      <c r="S87" s="253">
        <f>SUM(H87:R87)</f>
        <v>0</v>
      </c>
      <c r="T87" s="559">
        <v>11000</v>
      </c>
      <c r="U87" s="559">
        <v>11000</v>
      </c>
      <c r="V87" s="559">
        <v>11000</v>
      </c>
      <c r="W87" s="559">
        <v>11000</v>
      </c>
      <c r="X87" s="559">
        <v>11000</v>
      </c>
      <c r="Y87" s="559">
        <v>11000</v>
      </c>
      <c r="Z87" s="559">
        <v>11000</v>
      </c>
      <c r="AA87" s="559">
        <v>11000</v>
      </c>
      <c r="AB87" s="559">
        <v>11000</v>
      </c>
      <c r="AC87" s="559">
        <v>11000</v>
      </c>
      <c r="AD87" s="559">
        <v>11000</v>
      </c>
      <c r="AE87" s="253">
        <f>SUM(T87:AD87)</f>
        <v>121000</v>
      </c>
      <c r="AF87" s="256" t="s">
        <v>185</v>
      </c>
      <c r="AI87" s="262"/>
      <c r="AJ87" s="262"/>
      <c r="AK87" s="262"/>
    </row>
    <row r="88" spans="1:37" s="257" customFormat="1" ht="33" customHeight="1" x14ac:dyDescent="0.3">
      <c r="A88" s="1131"/>
      <c r="B88" s="1202"/>
      <c r="C88" s="1094"/>
      <c r="D88" s="563" t="s">
        <v>609</v>
      </c>
      <c r="E88" s="254">
        <f>+S88+AE88</f>
        <v>66000</v>
      </c>
      <c r="F88" s="254">
        <v>0</v>
      </c>
      <c r="G88" s="255">
        <f>+E88+F88</f>
        <v>66000</v>
      </c>
      <c r="H88" s="252"/>
      <c r="I88" s="252"/>
      <c r="J88" s="252"/>
      <c r="K88" s="252"/>
      <c r="L88" s="252"/>
      <c r="M88" s="252"/>
      <c r="N88" s="252"/>
      <c r="O88" s="252"/>
      <c r="P88" s="252"/>
      <c r="Q88" s="252"/>
      <c r="R88" s="252"/>
      <c r="S88" s="253">
        <f>SUM(H88:R88)</f>
        <v>0</v>
      </c>
      <c r="T88" s="562">
        <v>6000</v>
      </c>
      <c r="U88" s="562">
        <v>6000</v>
      </c>
      <c r="V88" s="562">
        <v>6000</v>
      </c>
      <c r="W88" s="562">
        <v>6000</v>
      </c>
      <c r="X88" s="562">
        <v>6000</v>
      </c>
      <c r="Y88" s="562">
        <v>6000</v>
      </c>
      <c r="Z88" s="562">
        <v>6000</v>
      </c>
      <c r="AA88" s="562">
        <v>6000</v>
      </c>
      <c r="AB88" s="562">
        <v>6000</v>
      </c>
      <c r="AC88" s="562">
        <v>6000</v>
      </c>
      <c r="AD88" s="562">
        <v>6000</v>
      </c>
      <c r="AE88" s="253">
        <f>SUM(T88:AD88)</f>
        <v>66000</v>
      </c>
      <c r="AF88" s="256" t="s">
        <v>185</v>
      </c>
      <c r="AI88" s="262"/>
      <c r="AJ88" s="262"/>
      <c r="AK88" s="262"/>
    </row>
    <row r="89" spans="1:37" s="257" customFormat="1" ht="18.75" customHeight="1" x14ac:dyDescent="0.3">
      <c r="A89" s="1131"/>
      <c r="B89" s="1202"/>
      <c r="C89" s="1094"/>
      <c r="D89" s="197" t="s">
        <v>598</v>
      </c>
      <c r="E89" s="254">
        <f>+S89+AE89</f>
        <v>121000</v>
      </c>
      <c r="F89" s="254">
        <v>0</v>
      </c>
      <c r="G89" s="255">
        <f>+E89+F89</f>
        <v>121000</v>
      </c>
      <c r="H89" s="252"/>
      <c r="I89" s="252"/>
      <c r="J89" s="252"/>
      <c r="K89" s="252"/>
      <c r="L89" s="252"/>
      <c r="M89" s="252"/>
      <c r="N89" s="252"/>
      <c r="O89" s="252"/>
      <c r="P89" s="252"/>
      <c r="Q89" s="252"/>
      <c r="R89" s="252"/>
      <c r="S89" s="253">
        <f>SUM(H89:R89)</f>
        <v>0</v>
      </c>
      <c r="T89" s="557">
        <v>11000</v>
      </c>
      <c r="U89" s="557">
        <v>11000</v>
      </c>
      <c r="V89" s="557">
        <v>11000</v>
      </c>
      <c r="W89" s="557">
        <v>11000</v>
      </c>
      <c r="X89" s="557">
        <v>11000</v>
      </c>
      <c r="Y89" s="557">
        <v>11000</v>
      </c>
      <c r="Z89" s="557">
        <v>11000</v>
      </c>
      <c r="AA89" s="557">
        <v>11000</v>
      </c>
      <c r="AB89" s="557">
        <v>11000</v>
      </c>
      <c r="AC89" s="557">
        <v>11000</v>
      </c>
      <c r="AD89" s="557">
        <v>11000</v>
      </c>
      <c r="AE89" s="253">
        <f>SUM(T89:AD89)</f>
        <v>121000</v>
      </c>
      <c r="AF89" s="256" t="s">
        <v>185</v>
      </c>
      <c r="AI89" s="262"/>
      <c r="AJ89" s="262"/>
      <c r="AK89" s="262"/>
    </row>
    <row r="90" spans="1:37" s="4" customFormat="1" ht="52.5" customHeight="1" x14ac:dyDescent="0.3">
      <c r="A90" s="1131"/>
      <c r="B90" s="1202"/>
      <c r="C90" s="1094"/>
      <c r="D90" s="2" t="s">
        <v>567</v>
      </c>
      <c r="E90" s="23">
        <f>+S90+AE90</f>
        <v>40330</v>
      </c>
      <c r="F90" s="23">
        <v>0</v>
      </c>
      <c r="G90" s="82">
        <f>+E90+F90</f>
        <v>40330</v>
      </c>
      <c r="H90" s="73"/>
      <c r="I90" s="73">
        <f>2550+780</f>
        <v>3330</v>
      </c>
      <c r="J90" s="73"/>
      <c r="K90" s="73">
        <v>1500</v>
      </c>
      <c r="L90" s="73"/>
      <c r="M90" s="73"/>
      <c r="N90" s="569">
        <v>4500</v>
      </c>
      <c r="O90" s="73">
        <v>5000</v>
      </c>
      <c r="P90" s="73">
        <v>2000</v>
      </c>
      <c r="Q90" s="73">
        <v>6000</v>
      </c>
      <c r="R90" s="73"/>
      <c r="S90" s="74">
        <f>SUM(H90:R90)</f>
        <v>22330</v>
      </c>
      <c r="T90" s="73"/>
      <c r="U90" s="73"/>
      <c r="V90" s="73">
        <v>6000</v>
      </c>
      <c r="W90" s="73"/>
      <c r="X90" s="73">
        <v>6000</v>
      </c>
      <c r="Y90" s="73"/>
      <c r="Z90" s="73"/>
      <c r="AA90" s="73">
        <v>6000</v>
      </c>
      <c r="AB90" s="73"/>
      <c r="AC90" s="73"/>
      <c r="AD90" s="73"/>
      <c r="AE90" s="74">
        <f>SUM(T90:AD90)</f>
        <v>18000</v>
      </c>
      <c r="AF90" s="24" t="s">
        <v>185</v>
      </c>
      <c r="AI90" s="84"/>
      <c r="AJ90" s="84"/>
      <c r="AK90" s="84"/>
    </row>
    <row r="91" spans="1:37" s="4" customFormat="1" ht="37.5" customHeight="1" x14ac:dyDescent="0.3">
      <c r="A91" s="1131"/>
      <c r="B91" s="1202"/>
      <c r="C91" s="1094"/>
      <c r="D91" s="2" t="s">
        <v>205</v>
      </c>
      <c r="E91" s="23">
        <f>+S91+AE91</f>
        <v>15000</v>
      </c>
      <c r="F91" s="23">
        <v>0</v>
      </c>
      <c r="G91" s="82">
        <f>+E91+F91</f>
        <v>15000</v>
      </c>
      <c r="H91" s="73"/>
      <c r="I91" s="73"/>
      <c r="J91" s="73"/>
      <c r="K91" s="73"/>
      <c r="L91" s="73"/>
      <c r="M91" s="73"/>
      <c r="N91" s="569">
        <v>5000</v>
      </c>
      <c r="O91" s="73"/>
      <c r="P91" s="73"/>
      <c r="Q91" s="73">
        <v>5000</v>
      </c>
      <c r="R91" s="73"/>
      <c r="S91" s="74">
        <f>SUM(H91:R91)</f>
        <v>10000</v>
      </c>
      <c r="T91" s="73"/>
      <c r="U91" s="73"/>
      <c r="V91" s="73">
        <v>5000</v>
      </c>
      <c r="W91" s="73"/>
      <c r="X91" s="73"/>
      <c r="Y91" s="73"/>
      <c r="Z91" s="73"/>
      <c r="AA91" s="73"/>
      <c r="AB91" s="73"/>
      <c r="AC91" s="73"/>
      <c r="AD91" s="73"/>
      <c r="AE91" s="74">
        <f>SUM(T91:AD91)</f>
        <v>5000</v>
      </c>
      <c r="AF91" s="24" t="s">
        <v>185</v>
      </c>
      <c r="AI91" s="84"/>
      <c r="AJ91" s="84"/>
      <c r="AK91" s="84"/>
    </row>
    <row r="92" spans="1:37" s="161" customFormat="1" ht="15.6" customHeight="1" x14ac:dyDescent="0.3">
      <c r="A92" s="1131"/>
      <c r="B92" s="1202" t="s">
        <v>3</v>
      </c>
      <c r="C92" s="1094" t="s">
        <v>540</v>
      </c>
      <c r="D92" s="425"/>
      <c r="E92" s="204">
        <f>SUM(E93)</f>
        <v>0</v>
      </c>
      <c r="F92" s="204">
        <f>SUM(F93)</f>
        <v>342700</v>
      </c>
      <c r="G92" s="204">
        <f t="shared" ref="G92:AF92" si="40">SUM(G93)</f>
        <v>342700</v>
      </c>
      <c r="H92" s="204">
        <f>SUM(H93)</f>
        <v>0</v>
      </c>
      <c r="I92" s="204">
        <f t="shared" si="40"/>
        <v>0</v>
      </c>
      <c r="J92" s="204">
        <f t="shared" si="40"/>
        <v>0</v>
      </c>
      <c r="K92" s="204">
        <f t="shared" si="40"/>
        <v>0</v>
      </c>
      <c r="L92" s="204">
        <f t="shared" si="40"/>
        <v>0</v>
      </c>
      <c r="M92" s="204">
        <f t="shared" si="40"/>
        <v>0</v>
      </c>
      <c r="N92" s="204">
        <f t="shared" si="40"/>
        <v>0</v>
      </c>
      <c r="O92" s="204">
        <f t="shared" si="40"/>
        <v>0</v>
      </c>
      <c r="P92" s="204">
        <f t="shared" si="40"/>
        <v>0</v>
      </c>
      <c r="Q92" s="204">
        <f t="shared" si="40"/>
        <v>0</v>
      </c>
      <c r="R92" s="204">
        <f t="shared" si="40"/>
        <v>0</v>
      </c>
      <c r="S92" s="204">
        <f t="shared" si="40"/>
        <v>0</v>
      </c>
      <c r="T92" s="204">
        <f t="shared" si="40"/>
        <v>0</v>
      </c>
      <c r="U92" s="204">
        <f t="shared" si="40"/>
        <v>0</v>
      </c>
      <c r="V92" s="204">
        <f t="shared" si="40"/>
        <v>0</v>
      </c>
      <c r="W92" s="204">
        <f t="shared" si="40"/>
        <v>342700</v>
      </c>
      <c r="X92" s="204">
        <f t="shared" si="40"/>
        <v>0</v>
      </c>
      <c r="Y92" s="204">
        <f t="shared" si="40"/>
        <v>0</v>
      </c>
      <c r="Z92" s="204">
        <f t="shared" si="40"/>
        <v>0</v>
      </c>
      <c r="AA92" s="204">
        <f t="shared" si="40"/>
        <v>0</v>
      </c>
      <c r="AB92" s="204">
        <f t="shared" si="40"/>
        <v>0</v>
      </c>
      <c r="AC92" s="204">
        <f t="shared" si="40"/>
        <v>0</v>
      </c>
      <c r="AD92" s="204">
        <f t="shared" si="40"/>
        <v>0</v>
      </c>
      <c r="AE92" s="204">
        <f t="shared" si="40"/>
        <v>342700</v>
      </c>
      <c r="AF92" s="363">
        <f t="shared" si="40"/>
        <v>0</v>
      </c>
      <c r="AI92" s="364"/>
      <c r="AJ92" s="364"/>
      <c r="AK92" s="364"/>
    </row>
    <row r="93" spans="1:37" s="4" customFormat="1" ht="81.75" customHeight="1" x14ac:dyDescent="0.3">
      <c r="A93" s="1131"/>
      <c r="B93" s="1202"/>
      <c r="C93" s="1094"/>
      <c r="D93" s="2" t="s">
        <v>568</v>
      </c>
      <c r="E93" s="23">
        <v>0</v>
      </c>
      <c r="F93" s="23">
        <f>+S93+AE93</f>
        <v>342700</v>
      </c>
      <c r="G93" s="82">
        <f>+E93+F93</f>
        <v>342700</v>
      </c>
      <c r="H93" s="73"/>
      <c r="I93" s="73"/>
      <c r="J93" s="73"/>
      <c r="K93" s="73"/>
      <c r="L93" s="73"/>
      <c r="M93" s="73"/>
      <c r="N93" s="73"/>
      <c r="O93" s="73"/>
      <c r="P93" s="73"/>
      <c r="Q93" s="73"/>
      <c r="R93" s="73"/>
      <c r="S93" s="643">
        <f>SUM(H93:R93)</f>
        <v>0</v>
      </c>
      <c r="T93" s="73"/>
      <c r="U93" s="73"/>
      <c r="W93" s="73">
        <v>342700</v>
      </c>
      <c r="X93" s="73"/>
      <c r="Y93" s="73"/>
      <c r="Z93" s="73"/>
      <c r="AA93" s="73"/>
      <c r="AB93" s="73"/>
      <c r="AC93" s="73"/>
      <c r="AD93" s="73"/>
      <c r="AE93" s="74">
        <f>SUM(T93:AD93)</f>
        <v>342700</v>
      </c>
      <c r="AF93" s="24" t="s">
        <v>185</v>
      </c>
      <c r="AI93" s="84"/>
      <c r="AJ93" s="84"/>
      <c r="AK93" s="84"/>
    </row>
    <row r="94" spans="1:37" x14ac:dyDescent="0.3">
      <c r="A94" s="1088" t="s">
        <v>113</v>
      </c>
      <c r="B94" s="40"/>
      <c r="C94" s="108"/>
      <c r="D94" s="108"/>
      <c r="E94" s="70">
        <f t="shared" ref="E94:AF94" si="41">+E95+E99</f>
        <v>109500</v>
      </c>
      <c r="F94" s="70">
        <f t="shared" si="41"/>
        <v>134100</v>
      </c>
      <c r="G94" s="70">
        <f t="shared" si="41"/>
        <v>243600</v>
      </c>
      <c r="H94" s="70">
        <f t="shared" si="41"/>
        <v>0</v>
      </c>
      <c r="I94" s="70">
        <f t="shared" si="41"/>
        <v>0</v>
      </c>
      <c r="J94" s="70">
        <f t="shared" si="41"/>
        <v>0</v>
      </c>
      <c r="K94" s="70">
        <f t="shared" si="41"/>
        <v>0</v>
      </c>
      <c r="L94" s="70">
        <f t="shared" si="41"/>
        <v>0</v>
      </c>
      <c r="M94" s="70">
        <f t="shared" si="41"/>
        <v>0</v>
      </c>
      <c r="N94" s="70">
        <f t="shared" si="41"/>
        <v>10000</v>
      </c>
      <c r="O94" s="70">
        <f t="shared" si="41"/>
        <v>10500</v>
      </c>
      <c r="P94" s="70">
        <f t="shared" si="41"/>
        <v>0</v>
      </c>
      <c r="Q94" s="70">
        <f t="shared" si="41"/>
        <v>3000</v>
      </c>
      <c r="R94" s="70">
        <f t="shared" si="41"/>
        <v>5000</v>
      </c>
      <c r="S94" s="70">
        <f t="shared" si="41"/>
        <v>28500</v>
      </c>
      <c r="T94" s="70">
        <f t="shared" si="41"/>
        <v>6000</v>
      </c>
      <c r="U94" s="70">
        <f t="shared" si="41"/>
        <v>6000</v>
      </c>
      <c r="V94" s="70">
        <f t="shared" si="41"/>
        <v>11000</v>
      </c>
      <c r="W94" s="70">
        <f t="shared" si="41"/>
        <v>145100</v>
      </c>
      <c r="X94" s="70">
        <f t="shared" si="41"/>
        <v>6000</v>
      </c>
      <c r="Y94" s="70">
        <f t="shared" si="41"/>
        <v>6000</v>
      </c>
      <c r="Z94" s="70">
        <f t="shared" si="41"/>
        <v>11000</v>
      </c>
      <c r="AA94" s="70">
        <f t="shared" si="41"/>
        <v>6000</v>
      </c>
      <c r="AB94" s="70">
        <f t="shared" si="41"/>
        <v>6000</v>
      </c>
      <c r="AC94" s="70">
        <f t="shared" si="41"/>
        <v>6000</v>
      </c>
      <c r="AD94" s="70">
        <f t="shared" si="41"/>
        <v>6000</v>
      </c>
      <c r="AE94" s="70">
        <f t="shared" si="41"/>
        <v>215100</v>
      </c>
      <c r="AF94" s="70">
        <f t="shared" si="41"/>
        <v>0</v>
      </c>
    </row>
    <row r="95" spans="1:37" x14ac:dyDescent="0.3">
      <c r="A95" s="1088"/>
      <c r="B95" s="211"/>
      <c r="C95" s="206"/>
      <c r="D95" s="206"/>
      <c r="E95" s="207">
        <f t="shared" ref="E95:AE95" si="42">SUM(E96:E98)</f>
        <v>109500</v>
      </c>
      <c r="F95" s="207">
        <f t="shared" si="42"/>
        <v>0</v>
      </c>
      <c r="G95" s="207">
        <f t="shared" si="42"/>
        <v>109500</v>
      </c>
      <c r="H95" s="207">
        <f t="shared" si="42"/>
        <v>0</v>
      </c>
      <c r="I95" s="207">
        <f t="shared" si="42"/>
        <v>0</v>
      </c>
      <c r="J95" s="207">
        <f t="shared" si="42"/>
        <v>0</v>
      </c>
      <c r="K95" s="207">
        <f t="shared" si="42"/>
        <v>0</v>
      </c>
      <c r="L95" s="207">
        <f t="shared" si="42"/>
        <v>0</v>
      </c>
      <c r="M95" s="207">
        <f t="shared" si="42"/>
        <v>0</v>
      </c>
      <c r="N95" s="207">
        <f t="shared" si="42"/>
        <v>10000</v>
      </c>
      <c r="O95" s="207">
        <f t="shared" si="42"/>
        <v>10500</v>
      </c>
      <c r="P95" s="207">
        <f t="shared" si="42"/>
        <v>0</v>
      </c>
      <c r="Q95" s="207">
        <f t="shared" si="42"/>
        <v>3000</v>
      </c>
      <c r="R95" s="207">
        <f t="shared" si="42"/>
        <v>5000</v>
      </c>
      <c r="S95" s="207">
        <f t="shared" si="42"/>
        <v>28500</v>
      </c>
      <c r="T95" s="207">
        <f t="shared" si="42"/>
        <v>6000</v>
      </c>
      <c r="U95" s="207">
        <f t="shared" si="42"/>
        <v>6000</v>
      </c>
      <c r="V95" s="207">
        <f t="shared" si="42"/>
        <v>11000</v>
      </c>
      <c r="W95" s="207">
        <f t="shared" si="42"/>
        <v>11000</v>
      </c>
      <c r="X95" s="207">
        <f t="shared" si="42"/>
        <v>6000</v>
      </c>
      <c r="Y95" s="207">
        <f t="shared" si="42"/>
        <v>6000</v>
      </c>
      <c r="Z95" s="207">
        <f t="shared" si="42"/>
        <v>11000</v>
      </c>
      <c r="AA95" s="207">
        <f t="shared" si="42"/>
        <v>6000</v>
      </c>
      <c r="AB95" s="207">
        <f t="shared" si="42"/>
        <v>6000</v>
      </c>
      <c r="AC95" s="207">
        <f t="shared" si="42"/>
        <v>6000</v>
      </c>
      <c r="AD95" s="207">
        <f t="shared" si="42"/>
        <v>6000</v>
      </c>
      <c r="AE95" s="207">
        <f t="shared" si="42"/>
        <v>81000</v>
      </c>
      <c r="AF95" s="52"/>
    </row>
    <row r="96" spans="1:37" s="257" customFormat="1" ht="18.75" customHeight="1" x14ac:dyDescent="0.3">
      <c r="A96" s="1088"/>
      <c r="B96" s="1202" t="s">
        <v>2</v>
      </c>
      <c r="C96" s="1094" t="s">
        <v>394</v>
      </c>
      <c r="D96" s="563" t="s">
        <v>608</v>
      </c>
      <c r="E96" s="254">
        <f>+S96+AE96</f>
        <v>66000</v>
      </c>
      <c r="F96" s="254">
        <v>0</v>
      </c>
      <c r="G96" s="255">
        <f>+E96+F96</f>
        <v>66000</v>
      </c>
      <c r="H96" s="252"/>
      <c r="I96" s="252"/>
      <c r="J96" s="252"/>
      <c r="K96" s="252"/>
      <c r="L96" s="252"/>
      <c r="M96" s="252"/>
      <c r="N96" s="252"/>
      <c r="O96" s="252"/>
      <c r="P96" s="252"/>
      <c r="Q96" s="252"/>
      <c r="R96" s="252"/>
      <c r="S96" s="253">
        <f>SUM(H96:R96)</f>
        <v>0</v>
      </c>
      <c r="T96" s="562">
        <v>6000</v>
      </c>
      <c r="U96" s="562">
        <v>6000</v>
      </c>
      <c r="V96" s="562">
        <v>6000</v>
      </c>
      <c r="W96" s="562">
        <v>6000</v>
      </c>
      <c r="X96" s="562">
        <v>6000</v>
      </c>
      <c r="Y96" s="562">
        <v>6000</v>
      </c>
      <c r="Z96" s="562">
        <v>6000</v>
      </c>
      <c r="AA96" s="562">
        <v>6000</v>
      </c>
      <c r="AB96" s="562">
        <v>6000</v>
      </c>
      <c r="AC96" s="562">
        <v>6000</v>
      </c>
      <c r="AD96" s="562">
        <v>6000</v>
      </c>
      <c r="AE96" s="253">
        <f>SUM(T96:AD96)</f>
        <v>66000</v>
      </c>
      <c r="AF96" s="256" t="s">
        <v>185</v>
      </c>
      <c r="AI96" s="262"/>
      <c r="AJ96" s="262"/>
      <c r="AK96" s="262"/>
    </row>
    <row r="97" spans="1:37" s="4" customFormat="1" ht="52.5" customHeight="1" x14ac:dyDescent="0.3">
      <c r="A97" s="1088"/>
      <c r="B97" s="1202"/>
      <c r="C97" s="1094"/>
      <c r="D97" s="2" t="s">
        <v>567</v>
      </c>
      <c r="E97" s="23">
        <f>+S97+AE97</f>
        <v>20500</v>
      </c>
      <c r="F97" s="23">
        <v>0</v>
      </c>
      <c r="G97" s="82">
        <f>+E97+F97</f>
        <v>20500</v>
      </c>
      <c r="H97" s="73"/>
      <c r="I97" s="73"/>
      <c r="J97" s="73"/>
      <c r="K97" s="73"/>
      <c r="L97" s="73"/>
      <c r="M97" s="73"/>
      <c r="N97" s="569">
        <v>5000</v>
      </c>
      <c r="O97" s="73">
        <v>5500</v>
      </c>
      <c r="P97" s="73"/>
      <c r="Q97" s="73"/>
      <c r="R97" s="73"/>
      <c r="S97" s="74">
        <f>SUM(H97:R97)</f>
        <v>10500</v>
      </c>
      <c r="T97" s="73"/>
      <c r="U97" s="73"/>
      <c r="V97" s="73"/>
      <c r="W97" s="73">
        <v>5000</v>
      </c>
      <c r="X97" s="73"/>
      <c r="Y97" s="73"/>
      <c r="Z97" s="73">
        <v>5000</v>
      </c>
      <c r="AA97" s="73"/>
      <c r="AB97" s="73"/>
      <c r="AC97" s="73"/>
      <c r="AD97" s="73"/>
      <c r="AE97" s="74">
        <f>SUM(T97:AD97)</f>
        <v>10000</v>
      </c>
      <c r="AF97" s="24" t="s">
        <v>185</v>
      </c>
      <c r="AI97" s="84"/>
      <c r="AJ97" s="84"/>
      <c r="AK97" s="84"/>
    </row>
    <row r="98" spans="1:37" s="4" customFormat="1" ht="37.5" customHeight="1" x14ac:dyDescent="0.3">
      <c r="A98" s="1088"/>
      <c r="B98" s="1202"/>
      <c r="C98" s="1094"/>
      <c r="D98" s="2" t="s">
        <v>205</v>
      </c>
      <c r="E98" s="23">
        <f>+S98+AE98</f>
        <v>23000</v>
      </c>
      <c r="F98" s="23">
        <v>0</v>
      </c>
      <c r="G98" s="82">
        <f>+E98+F98</f>
        <v>23000</v>
      </c>
      <c r="H98" s="73"/>
      <c r="I98" s="73"/>
      <c r="J98" s="73"/>
      <c r="K98" s="73"/>
      <c r="L98" s="73"/>
      <c r="M98" s="73"/>
      <c r="N98" s="569">
        <v>5000</v>
      </c>
      <c r="O98" s="73">
        <v>5000</v>
      </c>
      <c r="P98" s="73">
        <v>0</v>
      </c>
      <c r="Q98" s="73">
        <v>3000</v>
      </c>
      <c r="R98" s="73">
        <v>5000</v>
      </c>
      <c r="S98" s="74">
        <f>SUM(H98:R98)</f>
        <v>18000</v>
      </c>
      <c r="T98" s="73"/>
      <c r="U98" s="73"/>
      <c r="V98" s="73">
        <v>5000</v>
      </c>
      <c r="W98" s="73"/>
      <c r="X98" s="73"/>
      <c r="Y98" s="73"/>
      <c r="Z98" s="73"/>
      <c r="AA98" s="73"/>
      <c r="AB98" s="73"/>
      <c r="AC98" s="73"/>
      <c r="AD98" s="73"/>
      <c r="AE98" s="74">
        <f>SUM(T98:AD98)</f>
        <v>5000</v>
      </c>
      <c r="AF98" s="24" t="s">
        <v>185</v>
      </c>
      <c r="AI98" s="84"/>
      <c r="AJ98" s="84"/>
      <c r="AK98" s="84"/>
    </row>
    <row r="99" spans="1:37" s="161" customFormat="1" ht="13.95" customHeight="1" x14ac:dyDescent="0.3">
      <c r="A99" s="1088"/>
      <c r="B99" s="1202" t="s">
        <v>3</v>
      </c>
      <c r="C99" s="1094" t="s">
        <v>393</v>
      </c>
      <c r="D99" s="425"/>
      <c r="E99" s="204">
        <f>SUM(E100)</f>
        <v>0</v>
      </c>
      <c r="F99" s="204">
        <f t="shared" ref="F99:AF99" si="43">SUM(F100)</f>
        <v>134100</v>
      </c>
      <c r="G99" s="204">
        <f t="shared" si="43"/>
        <v>134100</v>
      </c>
      <c r="H99" s="204">
        <f t="shared" si="43"/>
        <v>0</v>
      </c>
      <c r="I99" s="204">
        <f t="shared" si="43"/>
        <v>0</v>
      </c>
      <c r="J99" s="204">
        <f t="shared" si="43"/>
        <v>0</v>
      </c>
      <c r="K99" s="204">
        <f t="shared" si="43"/>
        <v>0</v>
      </c>
      <c r="L99" s="204">
        <f t="shared" si="43"/>
        <v>0</v>
      </c>
      <c r="M99" s="204">
        <f t="shared" si="43"/>
        <v>0</v>
      </c>
      <c r="N99" s="204">
        <f t="shared" si="43"/>
        <v>0</v>
      </c>
      <c r="O99" s="204">
        <f t="shared" si="43"/>
        <v>0</v>
      </c>
      <c r="P99" s="204">
        <f t="shared" si="43"/>
        <v>0</v>
      </c>
      <c r="Q99" s="204">
        <f t="shared" si="43"/>
        <v>0</v>
      </c>
      <c r="R99" s="204">
        <f t="shared" si="43"/>
        <v>0</v>
      </c>
      <c r="S99" s="204">
        <f t="shared" si="43"/>
        <v>0</v>
      </c>
      <c r="T99" s="204">
        <f t="shared" si="43"/>
        <v>0</v>
      </c>
      <c r="U99" s="204">
        <f t="shared" si="43"/>
        <v>0</v>
      </c>
      <c r="V99" s="204">
        <f t="shared" si="43"/>
        <v>0</v>
      </c>
      <c r="W99" s="204">
        <f t="shared" si="43"/>
        <v>134100</v>
      </c>
      <c r="X99" s="204">
        <f t="shared" si="43"/>
        <v>0</v>
      </c>
      <c r="Y99" s="204">
        <f t="shared" si="43"/>
        <v>0</v>
      </c>
      <c r="Z99" s="204">
        <f t="shared" si="43"/>
        <v>0</v>
      </c>
      <c r="AA99" s="204">
        <f t="shared" si="43"/>
        <v>0</v>
      </c>
      <c r="AB99" s="204">
        <f t="shared" si="43"/>
        <v>0</v>
      </c>
      <c r="AC99" s="204">
        <f t="shared" si="43"/>
        <v>0</v>
      </c>
      <c r="AD99" s="204">
        <f t="shared" si="43"/>
        <v>0</v>
      </c>
      <c r="AE99" s="204">
        <f t="shared" si="43"/>
        <v>134100</v>
      </c>
      <c r="AF99" s="363">
        <f t="shared" si="43"/>
        <v>0</v>
      </c>
      <c r="AI99" s="364"/>
      <c r="AJ99" s="364"/>
      <c r="AK99" s="364"/>
    </row>
    <row r="100" spans="1:37" s="4" customFormat="1" ht="102" customHeight="1" x14ac:dyDescent="0.3">
      <c r="A100" s="1088"/>
      <c r="B100" s="1202"/>
      <c r="C100" s="1094"/>
      <c r="D100" s="2" t="s">
        <v>568</v>
      </c>
      <c r="E100" s="23">
        <v>0</v>
      </c>
      <c r="F100" s="23">
        <f>+S100+AE100</f>
        <v>134100</v>
      </c>
      <c r="G100" s="82">
        <f>+E100+F100</f>
        <v>134100</v>
      </c>
      <c r="H100" s="73"/>
      <c r="I100" s="73"/>
      <c r="J100" s="73"/>
      <c r="K100" s="73"/>
      <c r="L100" s="73"/>
      <c r="M100" s="73"/>
      <c r="N100" s="73"/>
      <c r="O100" s="73"/>
      <c r="P100" s="73"/>
      <c r="Q100" s="73"/>
      <c r="R100" s="73"/>
      <c r="S100" s="643">
        <f>SUM(H100:R100)</f>
        <v>0</v>
      </c>
      <c r="T100" s="73"/>
      <c r="U100" s="73"/>
      <c r="V100" s="178"/>
      <c r="W100" s="73">
        <v>134100</v>
      </c>
      <c r="X100" s="73"/>
      <c r="Y100" s="73"/>
      <c r="Z100" s="73"/>
      <c r="AA100" s="73"/>
      <c r="AB100" s="73"/>
      <c r="AC100" s="73"/>
      <c r="AD100" s="73"/>
      <c r="AE100" s="74">
        <f>SUM(T100:AD100)</f>
        <v>134100</v>
      </c>
      <c r="AF100" s="24" t="s">
        <v>185</v>
      </c>
      <c r="AI100" s="84"/>
      <c r="AJ100" s="84"/>
      <c r="AK100" s="84"/>
    </row>
    <row r="103" spans="1:37" x14ac:dyDescent="0.3">
      <c r="D103"/>
    </row>
    <row r="104" spans="1:37" x14ac:dyDescent="0.3">
      <c r="D104"/>
      <c r="H104" t="s">
        <v>640</v>
      </c>
      <c r="J104" s="617">
        <f>+O38+O63+L76</f>
        <v>220000</v>
      </c>
    </row>
    <row r="105" spans="1:37" x14ac:dyDescent="0.3">
      <c r="D105"/>
    </row>
    <row r="106" spans="1:37" x14ac:dyDescent="0.3">
      <c r="D106"/>
    </row>
    <row r="107" spans="1:37" x14ac:dyDescent="0.3">
      <c r="D107" s="227"/>
    </row>
  </sheetData>
  <autoFilter ref="A6:AM100"/>
  <mergeCells count="93">
    <mergeCell ref="A10:A20"/>
    <mergeCell ref="B11:B17"/>
    <mergeCell ref="C11:C17"/>
    <mergeCell ref="B18:B20"/>
    <mergeCell ref="C18:C20"/>
    <mergeCell ref="T5:AD5"/>
    <mergeCell ref="AE5:AE6"/>
    <mergeCell ref="AF5:AF6"/>
    <mergeCell ref="A8:G8"/>
    <mergeCell ref="A9:G9"/>
    <mergeCell ref="A5:D5"/>
    <mergeCell ref="E5:E6"/>
    <mergeCell ref="F5:F6"/>
    <mergeCell ref="G5:G6"/>
    <mergeCell ref="H5:R5"/>
    <mergeCell ref="S5:S6"/>
    <mergeCell ref="A21:G21"/>
    <mergeCell ref="A22:A38"/>
    <mergeCell ref="B23:B30"/>
    <mergeCell ref="C23:C30"/>
    <mergeCell ref="B31:B34"/>
    <mergeCell ref="C31:C34"/>
    <mergeCell ref="B35:B36"/>
    <mergeCell ref="C35:C36"/>
    <mergeCell ref="B37:B38"/>
    <mergeCell ref="C37:C38"/>
    <mergeCell ref="M57:M61"/>
    <mergeCell ref="A48:G48"/>
    <mergeCell ref="A49:G49"/>
    <mergeCell ref="A50:A65"/>
    <mergeCell ref="B51:B55"/>
    <mergeCell ref="C51:C55"/>
    <mergeCell ref="B56:B61"/>
    <mergeCell ref="C56:C61"/>
    <mergeCell ref="E57:E61"/>
    <mergeCell ref="F57:F61"/>
    <mergeCell ref="G57:G61"/>
    <mergeCell ref="H57:H61"/>
    <mergeCell ref="I57:I61"/>
    <mergeCell ref="J57:J61"/>
    <mergeCell ref="K57:K61"/>
    <mergeCell ref="L57:L61"/>
    <mergeCell ref="Y57:Y61"/>
    <mergeCell ref="N57:N61"/>
    <mergeCell ref="O57:O61"/>
    <mergeCell ref="P57:P61"/>
    <mergeCell ref="Q57:Q61"/>
    <mergeCell ref="R57:R61"/>
    <mergeCell ref="S57:S61"/>
    <mergeCell ref="AF57:AF61"/>
    <mergeCell ref="B62:B63"/>
    <mergeCell ref="C62:C63"/>
    <mergeCell ref="B64:B65"/>
    <mergeCell ref="C64:C65"/>
    <mergeCell ref="Z57:Z61"/>
    <mergeCell ref="AA57:AA61"/>
    <mergeCell ref="AB57:AB61"/>
    <mergeCell ref="AC57:AC61"/>
    <mergeCell ref="AD57:AD61"/>
    <mergeCell ref="AE57:AE61"/>
    <mergeCell ref="T57:T61"/>
    <mergeCell ref="U57:U61"/>
    <mergeCell ref="V57:V61"/>
    <mergeCell ref="W57:W61"/>
    <mergeCell ref="X57:X61"/>
    <mergeCell ref="A94:A100"/>
    <mergeCell ref="A78:A83"/>
    <mergeCell ref="A84:G84"/>
    <mergeCell ref="A85:A93"/>
    <mergeCell ref="B82:B83"/>
    <mergeCell ref="C82:C83"/>
    <mergeCell ref="B87:B91"/>
    <mergeCell ref="C87:C91"/>
    <mergeCell ref="B92:B93"/>
    <mergeCell ref="C92:C93"/>
    <mergeCell ref="B96:B98"/>
    <mergeCell ref="C96:C98"/>
    <mergeCell ref="B99:B100"/>
    <mergeCell ref="C99:C100"/>
    <mergeCell ref="B79:B81"/>
    <mergeCell ref="C79:C81"/>
    <mergeCell ref="A66:A77"/>
    <mergeCell ref="B67:B73"/>
    <mergeCell ref="C67:C73"/>
    <mergeCell ref="B74:B77"/>
    <mergeCell ref="C74:C77"/>
    <mergeCell ref="B46:B47"/>
    <mergeCell ref="C46:C47"/>
    <mergeCell ref="A39:G39"/>
    <mergeCell ref="A40:G40"/>
    <mergeCell ref="B42:B45"/>
    <mergeCell ref="C42:C45"/>
    <mergeCell ref="A41:A47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</sheetPr>
  <dimension ref="A1:AG44"/>
  <sheetViews>
    <sheetView zoomScale="60" zoomScaleNormal="60" workbookViewId="0">
      <pane xSplit="6" ySplit="6" topLeftCell="G7" activePane="bottomRight" state="frozen"/>
      <selection pane="topRight" activeCell="G1" sqref="G1"/>
      <selection pane="bottomLeft" activeCell="A7" sqref="A7"/>
      <selection pane="bottomRight" activeCell="E7" sqref="E7"/>
    </sheetView>
  </sheetViews>
  <sheetFormatPr baseColWidth="10" defaultRowHeight="14.4" x14ac:dyDescent="0.3"/>
  <cols>
    <col min="1" max="1" width="17.6640625" customWidth="1"/>
    <col min="2" max="2" width="7.44140625" style="30" customWidth="1"/>
    <col min="3" max="3" width="34.109375" style="275" customWidth="1"/>
    <col min="4" max="4" width="26.33203125" bestFit="1" customWidth="1"/>
    <col min="5" max="5" width="25.44140625" customWidth="1"/>
    <col min="6" max="6" width="26.109375" bestFit="1" customWidth="1"/>
    <col min="7" max="7" width="22.44140625" customWidth="1"/>
    <col min="8" max="9" width="21.5546875" bestFit="1" customWidth="1"/>
    <col min="10" max="10" width="23.33203125" bestFit="1" customWidth="1"/>
    <col min="11" max="12" width="23.6640625" bestFit="1" customWidth="1"/>
    <col min="13" max="13" width="24.109375" bestFit="1" customWidth="1"/>
    <col min="14" max="14" width="23.6640625" bestFit="1" customWidth="1"/>
    <col min="15" max="15" width="22.33203125" bestFit="1" customWidth="1"/>
    <col min="16" max="16" width="23.33203125" bestFit="1" customWidth="1"/>
    <col min="17" max="17" width="21.109375" bestFit="1" customWidth="1"/>
    <col min="18" max="18" width="25.44140625" bestFit="1" customWidth="1"/>
    <col min="19" max="19" width="21.109375" bestFit="1" customWidth="1"/>
    <col min="20" max="20" width="21.5546875" bestFit="1" customWidth="1"/>
    <col min="21" max="22" width="23.6640625" bestFit="1" customWidth="1"/>
    <col min="23" max="23" width="23.33203125" bestFit="1" customWidth="1"/>
    <col min="24" max="24" width="21.5546875" bestFit="1" customWidth="1"/>
    <col min="25" max="25" width="21.109375" bestFit="1" customWidth="1"/>
    <col min="26" max="28" width="21.5546875" bestFit="1" customWidth="1"/>
    <col min="29" max="29" width="21.109375" bestFit="1" customWidth="1"/>
    <col min="30" max="30" width="24.109375" bestFit="1" customWidth="1"/>
    <col min="31" max="31" width="17.5546875" hidden="1" customWidth="1"/>
  </cols>
  <sheetData>
    <row r="1" spans="1:33" s="4" customFormat="1" ht="21.75" customHeight="1" x14ac:dyDescent="0.3">
      <c r="A1" s="48" t="s">
        <v>46</v>
      </c>
      <c r="B1" s="34"/>
      <c r="C1" s="270"/>
      <c r="D1" s="33"/>
      <c r="E1" s="32"/>
      <c r="F1" s="32"/>
      <c r="G1" s="11"/>
      <c r="H1" s="12"/>
      <c r="I1" s="13"/>
      <c r="J1" s="9"/>
      <c r="K1" s="9"/>
      <c r="L1" s="9"/>
      <c r="M1" s="9"/>
      <c r="N1" s="9"/>
      <c r="O1" s="9"/>
      <c r="P1" s="9"/>
      <c r="Q1" s="9"/>
      <c r="R1" s="55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55"/>
      <c r="AE1" s="9"/>
      <c r="AF1" s="9"/>
      <c r="AG1" s="10"/>
    </row>
    <row r="2" spans="1:33" s="4" customFormat="1" ht="15.75" customHeight="1" x14ac:dyDescent="0.25">
      <c r="A2" s="48" t="s">
        <v>47</v>
      </c>
      <c r="B2" s="34"/>
      <c r="C2" s="270"/>
      <c r="D2" s="33"/>
      <c r="E2" s="32"/>
      <c r="G2" s="14"/>
      <c r="H2" s="15"/>
      <c r="I2" s="16"/>
      <c r="J2" s="9"/>
      <c r="K2" s="9"/>
      <c r="L2" s="9"/>
      <c r="M2" s="9"/>
      <c r="N2" s="9"/>
      <c r="O2" s="9"/>
      <c r="P2" s="9"/>
      <c r="Q2" s="9"/>
      <c r="R2" s="55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55"/>
      <c r="AE2" s="17"/>
      <c r="AF2" s="9"/>
      <c r="AG2" s="10"/>
    </row>
    <row r="3" spans="1:33" s="4" customFormat="1" ht="20.25" customHeight="1" x14ac:dyDescent="0.25">
      <c r="A3" s="48"/>
      <c r="B3" s="34"/>
      <c r="C3" s="270"/>
      <c r="D3" s="33"/>
      <c r="E3" s="32"/>
      <c r="F3" s="289">
        <v>22846445</v>
      </c>
      <c r="G3" s="14"/>
      <c r="H3" s="15"/>
      <c r="I3" s="16"/>
      <c r="J3" s="9"/>
      <c r="K3" s="9"/>
      <c r="L3" s="9"/>
      <c r="M3" s="9"/>
      <c r="N3" s="9"/>
      <c r="O3" s="9"/>
      <c r="P3" s="9"/>
      <c r="Q3" s="9"/>
      <c r="R3" s="55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55"/>
      <c r="AE3" s="17"/>
      <c r="AF3" s="9"/>
      <c r="AG3" s="10"/>
    </row>
    <row r="4" spans="1:33" s="4" customFormat="1" ht="6" customHeight="1" x14ac:dyDescent="0.25">
      <c r="A4" s="48"/>
      <c r="B4" s="34"/>
      <c r="C4" s="270"/>
      <c r="D4" s="33"/>
      <c r="E4" s="32"/>
      <c r="F4" s="32"/>
      <c r="G4" s="14"/>
      <c r="H4" s="15"/>
      <c r="I4" s="16"/>
      <c r="J4" s="9"/>
      <c r="K4" s="9"/>
      <c r="L4" s="9"/>
      <c r="M4" s="9"/>
      <c r="N4" s="9"/>
      <c r="O4" s="9"/>
      <c r="P4" s="9"/>
      <c r="Q4" s="9"/>
      <c r="R4" s="55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55"/>
      <c r="AE4" s="9"/>
      <c r="AF4" s="9"/>
      <c r="AG4" s="10"/>
    </row>
    <row r="5" spans="1:33" ht="21" customHeight="1" x14ac:dyDescent="0.3">
      <c r="A5" s="49" t="s">
        <v>48</v>
      </c>
      <c r="B5" s="37"/>
      <c r="C5" s="271"/>
      <c r="D5" s="1185" t="s">
        <v>43</v>
      </c>
      <c r="E5" s="1185" t="s">
        <v>44</v>
      </c>
      <c r="F5" s="1188" t="s">
        <v>85</v>
      </c>
      <c r="G5" s="1224">
        <v>2021</v>
      </c>
      <c r="H5" s="1225"/>
      <c r="I5" s="1225"/>
      <c r="J5" s="1225"/>
      <c r="K5" s="1225"/>
      <c r="L5" s="1225"/>
      <c r="M5" s="1225"/>
      <c r="N5" s="1225"/>
      <c r="O5" s="1225"/>
      <c r="P5" s="1225"/>
      <c r="Q5" s="1226"/>
      <c r="R5" s="1101" t="s">
        <v>41</v>
      </c>
      <c r="S5" s="1173">
        <v>2022</v>
      </c>
      <c r="T5" s="1111"/>
      <c r="U5" s="1111"/>
      <c r="V5" s="1111"/>
      <c r="W5" s="1111"/>
      <c r="X5" s="1111"/>
      <c r="Y5" s="1111"/>
      <c r="Z5" s="1111"/>
      <c r="AA5" s="1111"/>
      <c r="AB5" s="1111"/>
      <c r="AC5" s="1111"/>
      <c r="AD5" s="1101" t="s">
        <v>42</v>
      </c>
      <c r="AE5" s="1160" t="s">
        <v>45</v>
      </c>
    </row>
    <row r="6" spans="1:33" ht="39.75" customHeight="1" x14ac:dyDescent="0.3">
      <c r="A6" s="85" t="s">
        <v>49</v>
      </c>
      <c r="B6" s="86" t="s">
        <v>50</v>
      </c>
      <c r="C6" s="269" t="s">
        <v>51</v>
      </c>
      <c r="D6" s="1223"/>
      <c r="E6" s="1223"/>
      <c r="F6" s="1221"/>
      <c r="G6" s="18">
        <v>44228</v>
      </c>
      <c r="H6" s="18">
        <v>44256</v>
      </c>
      <c r="I6" s="18">
        <v>44287</v>
      </c>
      <c r="J6" s="18">
        <v>44317</v>
      </c>
      <c r="K6" s="18">
        <v>44348</v>
      </c>
      <c r="L6" s="18">
        <v>44378</v>
      </c>
      <c r="M6" s="18">
        <v>44409</v>
      </c>
      <c r="N6" s="18">
        <v>44440</v>
      </c>
      <c r="O6" s="18">
        <v>44470</v>
      </c>
      <c r="P6" s="18">
        <v>44501</v>
      </c>
      <c r="Q6" s="18">
        <v>44531</v>
      </c>
      <c r="R6" s="1101"/>
      <c r="S6" s="18">
        <v>44562</v>
      </c>
      <c r="T6" s="18">
        <v>44593</v>
      </c>
      <c r="U6" s="18">
        <v>44621</v>
      </c>
      <c r="V6" s="18">
        <v>44652</v>
      </c>
      <c r="W6" s="18">
        <v>44682</v>
      </c>
      <c r="X6" s="18">
        <v>44713</v>
      </c>
      <c r="Y6" s="18">
        <v>44743</v>
      </c>
      <c r="Z6" s="18">
        <v>44774</v>
      </c>
      <c r="AA6" s="18">
        <v>44805</v>
      </c>
      <c r="AB6" s="18">
        <v>44835</v>
      </c>
      <c r="AC6" s="18">
        <v>44866</v>
      </c>
      <c r="AD6" s="1101"/>
      <c r="AE6" s="1160"/>
    </row>
    <row r="7" spans="1:33" s="89" customFormat="1" ht="32.25" customHeight="1" x14ac:dyDescent="0.3">
      <c r="A7" s="1078" t="s">
        <v>98</v>
      </c>
      <c r="B7" s="1079"/>
      <c r="C7" s="1079"/>
      <c r="D7" s="208">
        <f t="shared" ref="D7:AD7" si="0">+D10+D21+D29+D31+D36+D41</f>
        <v>7649284.0800000001</v>
      </c>
      <c r="E7" s="208">
        <f t="shared" si="0"/>
        <v>15453974.449999999</v>
      </c>
      <c r="F7" s="208">
        <f t="shared" si="0"/>
        <v>23103258.530000001</v>
      </c>
      <c r="G7" s="208">
        <f t="shared" si="0"/>
        <v>323585</v>
      </c>
      <c r="H7" s="208">
        <f t="shared" si="0"/>
        <v>913336</v>
      </c>
      <c r="I7" s="208">
        <f t="shared" si="0"/>
        <v>49115</v>
      </c>
      <c r="J7" s="208">
        <f t="shared" si="0"/>
        <v>580362.57000000007</v>
      </c>
      <c r="K7" s="208">
        <f t="shared" si="0"/>
        <v>394600</v>
      </c>
      <c r="L7" s="208">
        <f t="shared" si="0"/>
        <v>260500</v>
      </c>
      <c r="M7" s="208">
        <f t="shared" si="0"/>
        <v>1090283.75</v>
      </c>
      <c r="N7" s="208">
        <f t="shared" si="0"/>
        <v>1998960.92</v>
      </c>
      <c r="O7" s="208">
        <f t="shared" si="0"/>
        <v>1246000</v>
      </c>
      <c r="P7" s="208">
        <f t="shared" si="0"/>
        <v>3554213.9</v>
      </c>
      <c r="Q7" s="208">
        <f t="shared" si="0"/>
        <v>2082331.6400000001</v>
      </c>
      <c r="R7" s="208">
        <f t="shared" si="0"/>
        <v>12493288.780000001</v>
      </c>
      <c r="S7" s="208">
        <f t="shared" si="0"/>
        <v>236000</v>
      </c>
      <c r="T7" s="208">
        <f t="shared" si="0"/>
        <v>1847193.97</v>
      </c>
      <c r="U7" s="208">
        <f t="shared" si="0"/>
        <v>1962600</v>
      </c>
      <c r="V7" s="208">
        <f t="shared" si="0"/>
        <v>2034458</v>
      </c>
      <c r="W7" s="208">
        <f t="shared" si="0"/>
        <v>879150</v>
      </c>
      <c r="X7" s="208">
        <f t="shared" si="0"/>
        <v>1742662.5</v>
      </c>
      <c r="Y7" s="208">
        <f t="shared" si="0"/>
        <v>501786.1</v>
      </c>
      <c r="Z7" s="208">
        <f t="shared" si="0"/>
        <v>508000</v>
      </c>
      <c r="AA7" s="208">
        <f t="shared" si="0"/>
        <v>384119.18</v>
      </c>
      <c r="AB7" s="208">
        <f t="shared" si="0"/>
        <v>332000</v>
      </c>
      <c r="AC7" s="208">
        <f t="shared" si="0"/>
        <v>182000</v>
      </c>
      <c r="AD7" s="208">
        <f t="shared" si="0"/>
        <v>10609969.75</v>
      </c>
      <c r="AE7" s="88"/>
    </row>
    <row r="8" spans="1:33" s="67" customFormat="1" ht="34.5" customHeight="1" x14ac:dyDescent="0.3">
      <c r="A8" s="320" t="s">
        <v>253</v>
      </c>
      <c r="B8" s="360"/>
      <c r="C8" s="317"/>
      <c r="D8" s="317"/>
      <c r="E8" s="317"/>
      <c r="F8" s="318"/>
      <c r="G8" s="280"/>
      <c r="H8" s="280"/>
      <c r="I8" s="280"/>
      <c r="J8" s="280"/>
      <c r="K8" s="280"/>
      <c r="L8" s="280"/>
      <c r="M8" s="280"/>
      <c r="N8" s="280"/>
      <c r="O8" s="280"/>
      <c r="P8" s="280"/>
      <c r="Q8" s="280"/>
      <c r="R8" s="57"/>
      <c r="S8" s="280"/>
      <c r="T8" s="280"/>
      <c r="U8" s="280"/>
      <c r="V8" s="280"/>
      <c r="W8" s="280"/>
      <c r="X8" s="280"/>
      <c r="Y8" s="280"/>
      <c r="Z8" s="280"/>
      <c r="AA8" s="280"/>
      <c r="AB8" s="280"/>
      <c r="AC8" s="280"/>
      <c r="AD8" s="57"/>
      <c r="AE8" s="281"/>
    </row>
    <row r="9" spans="1:33" s="67" customFormat="1" ht="37.5" customHeight="1" x14ac:dyDescent="0.3">
      <c r="A9" s="282" t="s">
        <v>252</v>
      </c>
      <c r="B9" s="361"/>
      <c r="C9" s="284"/>
      <c r="D9" s="283"/>
      <c r="E9" s="283"/>
      <c r="F9" s="285"/>
      <c r="G9" s="222"/>
      <c r="H9" s="222"/>
      <c r="I9" s="222"/>
      <c r="J9" s="222"/>
      <c r="K9" s="222"/>
      <c r="L9" s="222"/>
      <c r="M9" s="222"/>
      <c r="N9" s="222"/>
      <c r="O9" s="222"/>
      <c r="P9" s="222"/>
      <c r="Q9" s="222"/>
      <c r="R9" s="222"/>
      <c r="S9" s="222"/>
      <c r="T9" s="222"/>
      <c r="U9" s="222"/>
      <c r="V9" s="222"/>
      <c r="W9" s="222"/>
      <c r="X9" s="222"/>
      <c r="Y9" s="222"/>
      <c r="Z9" s="222"/>
      <c r="AA9" s="222"/>
      <c r="AB9" s="222"/>
      <c r="AC9" s="222"/>
      <c r="AD9" s="222"/>
      <c r="AE9" s="223"/>
    </row>
    <row r="10" spans="1:33" ht="32.25" customHeight="1" x14ac:dyDescent="0.3">
      <c r="A10" s="1075" t="s">
        <v>785</v>
      </c>
      <c r="B10" s="266"/>
      <c r="C10" s="272"/>
      <c r="D10" s="267">
        <f>SUM(D11:D19)</f>
        <v>2928780</v>
      </c>
      <c r="E10" s="267">
        <f>SUM(E11:E19)</f>
        <v>5132813.53</v>
      </c>
      <c r="F10" s="267">
        <f>SUM(F11:F19)</f>
        <v>8061593.5300000003</v>
      </c>
      <c r="G10" s="267">
        <f>SUM(G11:G19)</f>
        <v>22000</v>
      </c>
      <c r="H10" s="267">
        <f t="shared" ref="H10:AE10" si="1">SUM(H11:H19)</f>
        <v>22000</v>
      </c>
      <c r="I10" s="267">
        <f t="shared" si="1"/>
        <v>22000</v>
      </c>
      <c r="J10" s="267">
        <f t="shared" si="1"/>
        <v>137000</v>
      </c>
      <c r="K10" s="267">
        <f t="shared" si="1"/>
        <v>163000</v>
      </c>
      <c r="L10" s="267">
        <f t="shared" si="1"/>
        <v>64000</v>
      </c>
      <c r="M10" s="267">
        <f t="shared" si="1"/>
        <v>219330</v>
      </c>
      <c r="N10" s="267">
        <f t="shared" si="1"/>
        <v>351000</v>
      </c>
      <c r="O10" s="267">
        <f t="shared" si="1"/>
        <v>731000</v>
      </c>
      <c r="P10" s="267">
        <f t="shared" si="1"/>
        <v>1401363.9</v>
      </c>
      <c r="Q10" s="267">
        <f t="shared" si="1"/>
        <v>1277000</v>
      </c>
      <c r="R10" s="267">
        <f t="shared" si="1"/>
        <v>4409693.9000000004</v>
      </c>
      <c r="S10" s="267">
        <f t="shared" si="1"/>
        <v>90000</v>
      </c>
      <c r="T10" s="267">
        <f t="shared" si="1"/>
        <v>760813.53</v>
      </c>
      <c r="U10" s="267">
        <f t="shared" si="1"/>
        <v>1146150</v>
      </c>
      <c r="V10" s="267">
        <f t="shared" si="1"/>
        <v>480000</v>
      </c>
      <c r="W10" s="267">
        <f t="shared" si="1"/>
        <v>319150</v>
      </c>
      <c r="X10" s="267">
        <f t="shared" si="1"/>
        <v>205000</v>
      </c>
      <c r="Y10" s="267">
        <f t="shared" si="1"/>
        <v>202786.1</v>
      </c>
      <c r="Z10" s="267">
        <f t="shared" si="1"/>
        <v>127000</v>
      </c>
      <c r="AA10" s="267">
        <f t="shared" si="1"/>
        <v>115000</v>
      </c>
      <c r="AB10" s="267">
        <f t="shared" si="1"/>
        <v>115000</v>
      </c>
      <c r="AC10" s="267">
        <f t="shared" si="1"/>
        <v>91000</v>
      </c>
      <c r="AD10" s="267">
        <f t="shared" si="1"/>
        <v>3651899.63</v>
      </c>
      <c r="AE10" s="267">
        <f t="shared" si="1"/>
        <v>0</v>
      </c>
    </row>
    <row r="11" spans="1:33" s="315" customFormat="1" ht="37.5" customHeight="1" x14ac:dyDescent="0.3">
      <c r="A11" s="1076"/>
      <c r="B11" s="355" t="s">
        <v>2</v>
      </c>
      <c r="C11" s="232" t="s">
        <v>223</v>
      </c>
      <c r="D11" s="72">
        <f>+R11+AD11</f>
        <v>887000</v>
      </c>
      <c r="E11" s="72"/>
      <c r="F11" s="236">
        <f>+D11+E11</f>
        <v>887000</v>
      </c>
      <c r="G11" s="66">
        <f>+'ATENCIÓN (desglose)'!H11</f>
        <v>22000</v>
      </c>
      <c r="H11" s="66">
        <f>+'ATENCIÓN (desglose)'!I11</f>
        <v>22000</v>
      </c>
      <c r="I11" s="66">
        <f>+'ATENCIÓN (desglose)'!J11</f>
        <v>22000</v>
      </c>
      <c r="J11" s="66">
        <f>+'ATENCIÓN (desglose)'!K11</f>
        <v>37000</v>
      </c>
      <c r="K11" s="66">
        <f>+'ATENCIÓN (desglose)'!L11</f>
        <v>48000</v>
      </c>
      <c r="L11" s="66">
        <f>+'ATENCIÓN (desglose)'!M11</f>
        <v>49000</v>
      </c>
      <c r="M11" s="66">
        <f>+'ATENCIÓN (desglose)'!N11</f>
        <v>48000</v>
      </c>
      <c r="N11" s="66">
        <f>+'ATENCIÓN (desglose)'!O11</f>
        <v>119000</v>
      </c>
      <c r="O11" s="66">
        <f>+'ATENCIÓN (desglose)'!P11</f>
        <v>119000</v>
      </c>
      <c r="P11" s="66">
        <f>+'ATENCIÓN (desglose)'!Q11</f>
        <v>119000</v>
      </c>
      <c r="Q11" s="66">
        <f>+'ATENCIÓN (desglose)'!R11</f>
        <v>115000</v>
      </c>
      <c r="R11" s="236">
        <f>SUM(G11:Q11)</f>
        <v>720000</v>
      </c>
      <c r="S11" s="66">
        <f>+'ATENCIÓN (desglose)'!T11</f>
        <v>0</v>
      </c>
      <c r="T11" s="66">
        <f>+'ATENCIÓN (desglose)'!U11</f>
        <v>3000</v>
      </c>
      <c r="U11" s="66">
        <f>+'ATENCIÓN (desglose)'!V11</f>
        <v>3000</v>
      </c>
      <c r="V11" s="66">
        <f>+'ATENCIÓN (desglose)'!W11</f>
        <v>3000</v>
      </c>
      <c r="W11" s="66">
        <f>+'ATENCIÓN (desglose)'!X11</f>
        <v>3000</v>
      </c>
      <c r="X11" s="66">
        <f>+'ATENCIÓN (desglose)'!Y11</f>
        <v>28000</v>
      </c>
      <c r="Y11" s="66">
        <f>+'ATENCIÓN (desglose)'!Z11</f>
        <v>27000</v>
      </c>
      <c r="Z11" s="66">
        <f>+'ATENCIÓN (desglose)'!AA11</f>
        <v>25000</v>
      </c>
      <c r="AA11" s="66">
        <f>+'ATENCIÓN (desglose)'!AB11</f>
        <v>25000</v>
      </c>
      <c r="AB11" s="66">
        <f>+'ATENCIÓN (desglose)'!AC11</f>
        <v>25000</v>
      </c>
      <c r="AC11" s="66">
        <f>+'ATENCIÓN (desglose)'!AD11</f>
        <v>25000</v>
      </c>
      <c r="AD11" s="236">
        <f>SUM(S11:AC11)</f>
        <v>167000</v>
      </c>
      <c r="AE11" s="321"/>
    </row>
    <row r="12" spans="1:33" s="315" customFormat="1" ht="105.75" customHeight="1" x14ac:dyDescent="0.3">
      <c r="A12" s="1076"/>
      <c r="B12" s="355" t="s">
        <v>3</v>
      </c>
      <c r="C12" s="359" t="s">
        <v>496</v>
      </c>
      <c r="D12" s="72">
        <f t="shared" ref="D12:D18" si="2">+R12+AD12</f>
        <v>865000</v>
      </c>
      <c r="E12" s="72"/>
      <c r="F12" s="236">
        <f t="shared" ref="F12:F18" si="3">+D12+E12</f>
        <v>865000</v>
      </c>
      <c r="G12" s="66">
        <f>+'ATENCIÓN (desglose)'!H20</f>
        <v>0</v>
      </c>
      <c r="H12" s="66">
        <f>+'ATENCIÓN (desglose)'!I20</f>
        <v>0</v>
      </c>
      <c r="I12" s="66">
        <f>+'ATENCIÓN (desglose)'!J20</f>
        <v>0</v>
      </c>
      <c r="J12" s="66">
        <f>+'ATENCIÓN (desglose)'!K20</f>
        <v>0</v>
      </c>
      <c r="K12" s="66">
        <f>+'ATENCIÓN (desglose)'!L20</f>
        <v>0</v>
      </c>
      <c r="L12" s="66">
        <f>+'ATENCIÓN (desglose)'!M20</f>
        <v>0</v>
      </c>
      <c r="M12" s="66">
        <f>+'ATENCIÓN (desglose)'!N20</f>
        <v>97000</v>
      </c>
      <c r="N12" s="66">
        <f>+'ATENCIÓN (desglose)'!O20</f>
        <v>12000</v>
      </c>
      <c r="O12" s="66">
        <f>+'ATENCIÓN (desglose)'!P20</f>
        <v>12000</v>
      </c>
      <c r="P12" s="66">
        <f>+'ATENCIÓN (desglose)'!Q20</f>
        <v>72000</v>
      </c>
      <c r="Q12" s="66">
        <f>+'ATENCIÓN (desglose)'!R20</f>
        <v>12000</v>
      </c>
      <c r="R12" s="236">
        <f t="shared" ref="R12:R19" si="4">SUM(G12:Q12)</f>
        <v>205000</v>
      </c>
      <c r="S12" s="66">
        <f>+'ATENCIÓN (desglose)'!T20</f>
        <v>90000</v>
      </c>
      <c r="T12" s="66">
        <f>+'ATENCIÓN (desglose)'!U20</f>
        <v>150000</v>
      </c>
      <c r="U12" s="66">
        <f>+'ATENCIÓN (desglose)'!V20</f>
        <v>90000</v>
      </c>
      <c r="V12" s="66">
        <f>+'ATENCIÓN (desglose)'!W20</f>
        <v>102000</v>
      </c>
      <c r="W12" s="66">
        <f>+'ATENCIÓN (desglose)'!X20</f>
        <v>102000</v>
      </c>
      <c r="X12" s="66">
        <f>+'ATENCIÓN (desglose)'!Y20</f>
        <v>102000</v>
      </c>
      <c r="Y12" s="66">
        <f>+'ATENCIÓN (desglose)'!Z20</f>
        <v>12000</v>
      </c>
      <c r="Z12" s="66">
        <f>+'ATENCIÓN (desglose)'!AA20</f>
        <v>12000</v>
      </c>
      <c r="AA12" s="66">
        <f>+'ATENCIÓN (desglose)'!AB20</f>
        <v>0</v>
      </c>
      <c r="AB12" s="66">
        <f>+'ATENCIÓN (desglose)'!AC20</f>
        <v>0</v>
      </c>
      <c r="AC12" s="66">
        <f>+'ATENCIÓN (desglose)'!AD20</f>
        <v>0</v>
      </c>
      <c r="AD12" s="236">
        <f t="shared" ref="AD12:AD19" si="5">SUM(S12:AC12)</f>
        <v>660000</v>
      </c>
      <c r="AE12" s="321"/>
    </row>
    <row r="13" spans="1:33" s="315" customFormat="1" ht="114" customHeight="1" x14ac:dyDescent="0.3">
      <c r="A13" s="1076"/>
      <c r="B13" s="353" t="s">
        <v>4</v>
      </c>
      <c r="C13" s="319" t="s">
        <v>495</v>
      </c>
      <c r="D13" s="72"/>
      <c r="E13" s="72">
        <f>+R13+AD13</f>
        <v>3051000</v>
      </c>
      <c r="F13" s="236">
        <f>+D13+E13</f>
        <v>3051000</v>
      </c>
      <c r="G13" s="66">
        <f>+'ATENCIÓN (desglose)'!H29</f>
        <v>0</v>
      </c>
      <c r="H13" s="66">
        <f>+'ATENCIÓN (desglose)'!I29</f>
        <v>0</v>
      </c>
      <c r="I13" s="66">
        <f>+'ATENCIÓN (desglose)'!J29</f>
        <v>0</v>
      </c>
      <c r="J13" s="66">
        <f>+'ATENCIÓN (desglose)'!K29</f>
        <v>0</v>
      </c>
      <c r="K13" s="66">
        <f>+'ATENCIÓN (desglose)'!L29</f>
        <v>0</v>
      </c>
      <c r="L13" s="66">
        <f>+'ATENCIÓN (desglose)'!M29</f>
        <v>0</v>
      </c>
      <c r="M13" s="66">
        <f>+'ATENCIÓN (desglose)'!N29</f>
        <v>0</v>
      </c>
      <c r="N13" s="66">
        <f>+'ATENCIÓN (desglose)'!O29</f>
        <v>0</v>
      </c>
      <c r="O13" s="66">
        <f>+'ATENCIÓN (desglose)'!P29</f>
        <v>500000</v>
      </c>
      <c r="P13" s="66">
        <f>+'ATENCIÓN (desglose)'!Q29</f>
        <v>900000</v>
      </c>
      <c r="Q13" s="66">
        <f>+'ATENCIÓN (desglose)'!R29</f>
        <v>900000</v>
      </c>
      <c r="R13" s="618">
        <f t="shared" si="4"/>
        <v>2300000</v>
      </c>
      <c r="S13" s="66">
        <f>+'ATENCIÓN (desglose)'!T29</f>
        <v>0</v>
      </c>
      <c r="T13" s="66">
        <f>+'ATENCIÓN (desglose)'!U29</f>
        <v>351000</v>
      </c>
      <c r="U13" s="66">
        <f>+'ATENCIÓN (desglose)'!V29</f>
        <v>400000</v>
      </c>
      <c r="V13" s="66">
        <f>+'ATENCIÓN (desglose)'!W29</f>
        <v>0</v>
      </c>
      <c r="W13" s="66">
        <f>+'ATENCIÓN (desglose)'!X29</f>
        <v>0</v>
      </c>
      <c r="X13" s="66">
        <f>+'ATENCIÓN (desglose)'!Y29</f>
        <v>0</v>
      </c>
      <c r="Y13" s="66">
        <f>+'ATENCIÓN (desglose)'!Z29</f>
        <v>0</v>
      </c>
      <c r="Z13" s="66">
        <f>+'ATENCIÓN (desglose)'!AA29</f>
        <v>0</v>
      </c>
      <c r="AA13" s="66">
        <f>+'ATENCIÓN (desglose)'!AB29</f>
        <v>0</v>
      </c>
      <c r="AB13" s="66">
        <f>+'ATENCIÓN (desglose)'!AC29</f>
        <v>0</v>
      </c>
      <c r="AC13" s="66">
        <f>+'ATENCIÓN (desglose)'!AD29</f>
        <v>0</v>
      </c>
      <c r="AD13" s="618">
        <f t="shared" si="5"/>
        <v>751000</v>
      </c>
      <c r="AE13" s="321"/>
    </row>
    <row r="14" spans="1:33" s="315" customFormat="1" ht="111" customHeight="1" x14ac:dyDescent="0.3">
      <c r="A14" s="1076"/>
      <c r="B14" s="353" t="s">
        <v>8</v>
      </c>
      <c r="C14" s="428" t="s">
        <v>395</v>
      </c>
      <c r="D14" s="72">
        <f t="shared" si="2"/>
        <v>280000</v>
      </c>
      <c r="E14" s="72"/>
      <c r="F14" s="236">
        <f t="shared" si="3"/>
        <v>280000</v>
      </c>
      <c r="G14" s="66">
        <f>+'ATENCIÓN (desglose)'!H32</f>
        <v>0</v>
      </c>
      <c r="H14" s="66">
        <f>+'ATENCIÓN (desglose)'!I32</f>
        <v>0</v>
      </c>
      <c r="I14" s="66">
        <f>+'ATENCIÓN (desglose)'!J32</f>
        <v>0</v>
      </c>
      <c r="J14" s="66">
        <f>+'ATENCIÓN (desglose)'!K32</f>
        <v>0</v>
      </c>
      <c r="K14" s="66">
        <f>+'ATENCIÓN (desglose)'!L32</f>
        <v>0</v>
      </c>
      <c r="L14" s="66">
        <f>+'ATENCIÓN (desglose)'!M32</f>
        <v>0</v>
      </c>
      <c r="M14" s="66">
        <f>+'ATENCIÓN (desglose)'!N32</f>
        <v>0</v>
      </c>
      <c r="N14" s="66">
        <f>+'ATENCIÓN (desglose)'!O32</f>
        <v>30000</v>
      </c>
      <c r="O14" s="66">
        <f>+'ATENCIÓN (desglose)'!P32</f>
        <v>0</v>
      </c>
      <c r="P14" s="66">
        <f>+'ATENCIÓN (desglose)'!Q32</f>
        <v>140363.9</v>
      </c>
      <c r="Q14" s="66">
        <f>+'ATENCIÓN (desglose)'!R32</f>
        <v>0</v>
      </c>
      <c r="R14" s="236">
        <f t="shared" si="4"/>
        <v>170363.9</v>
      </c>
      <c r="S14" s="66">
        <f>+'ATENCIÓN (desglose)'!T32</f>
        <v>0</v>
      </c>
      <c r="T14" s="66">
        <f>+'ATENCIÓN (desglose)'!U32</f>
        <v>0</v>
      </c>
      <c r="U14" s="66">
        <f>+'ATENCIÓN (desglose)'!V32</f>
        <v>25000</v>
      </c>
      <c r="V14" s="66">
        <f>+'ATENCIÓN (desglose)'!W32</f>
        <v>25000</v>
      </c>
      <c r="W14" s="66">
        <f>+'ATENCIÓN (desglose)'!X32</f>
        <v>25000</v>
      </c>
      <c r="X14" s="66">
        <f>+'ATENCIÓN (desglose)'!Y32</f>
        <v>25000</v>
      </c>
      <c r="Y14" s="66">
        <f>+'ATENCIÓN (desglose)'!Z32</f>
        <v>9636.1</v>
      </c>
      <c r="Z14" s="66">
        <f>+'ATENCIÓN (desglose)'!AA32</f>
        <v>0</v>
      </c>
      <c r="AA14" s="66">
        <f>+'ATENCIÓN (desglose)'!AB32</f>
        <v>0</v>
      </c>
      <c r="AB14" s="66">
        <f>+'ATENCIÓN (desglose)'!AC32</f>
        <v>0</v>
      </c>
      <c r="AC14" s="66">
        <f>+'ATENCIÓN (desglose)'!AD32</f>
        <v>0</v>
      </c>
      <c r="AD14" s="236">
        <f t="shared" si="5"/>
        <v>109636.1</v>
      </c>
      <c r="AE14" s="321"/>
    </row>
    <row r="15" spans="1:33" s="315" customFormat="1" ht="72" x14ac:dyDescent="0.3">
      <c r="A15" s="1076"/>
      <c r="B15" s="353" t="s">
        <v>9</v>
      </c>
      <c r="C15" s="428" t="s">
        <v>230</v>
      </c>
      <c r="D15" s="72"/>
      <c r="E15" s="72">
        <f>+R15+AD15</f>
        <v>170000</v>
      </c>
      <c r="F15" s="236">
        <f>+D15+E15</f>
        <v>170000</v>
      </c>
      <c r="G15" s="66">
        <f>+'ATENCIÓN (desglose)'!H35</f>
        <v>0</v>
      </c>
      <c r="H15" s="66">
        <f>+'ATENCIÓN (desglose)'!I35</f>
        <v>0</v>
      </c>
      <c r="I15" s="66">
        <f>+'ATENCIÓN (desglose)'!J35</f>
        <v>0</v>
      </c>
      <c r="J15" s="66">
        <f>+'ATENCIÓN (desglose)'!K35</f>
        <v>0</v>
      </c>
      <c r="K15" s="66">
        <f>+'ATENCIÓN (desglose)'!L35</f>
        <v>0</v>
      </c>
      <c r="L15" s="66">
        <f>+'ATENCIÓN (desglose)'!M35</f>
        <v>0</v>
      </c>
      <c r="M15" s="66">
        <f>+'ATENCIÓN (desglose)'!N35</f>
        <v>0</v>
      </c>
      <c r="N15" s="66">
        <f>+'ATENCIÓN (desglose)'!O35</f>
        <v>0</v>
      </c>
      <c r="O15" s="66">
        <f>+'ATENCIÓN (desglose)'!P35</f>
        <v>0</v>
      </c>
      <c r="P15" s="66">
        <f>+'ATENCIÓN (desglose)'!Q35</f>
        <v>170000</v>
      </c>
      <c r="Q15" s="66">
        <f>+'ATENCIÓN (desglose)'!R35</f>
        <v>0</v>
      </c>
      <c r="R15" s="618">
        <f t="shared" si="4"/>
        <v>170000</v>
      </c>
      <c r="S15" s="66">
        <f>+'ATENCIÓN (desglose)'!T35</f>
        <v>0</v>
      </c>
      <c r="T15" s="66">
        <f>+'ATENCIÓN (desglose)'!U35</f>
        <v>0</v>
      </c>
      <c r="U15" s="66">
        <f>+'ATENCIÓN (desglose)'!V35</f>
        <v>0</v>
      </c>
      <c r="V15" s="66">
        <f>+'ATENCIÓN (desglose)'!W35</f>
        <v>0</v>
      </c>
      <c r="W15" s="66">
        <f>+'ATENCIÓN (desglose)'!X35</f>
        <v>0</v>
      </c>
      <c r="X15" s="66">
        <f>+'ATENCIÓN (desglose)'!Y35</f>
        <v>0</v>
      </c>
      <c r="Y15" s="66">
        <f>+'ATENCIÓN (desglose)'!Z35</f>
        <v>0</v>
      </c>
      <c r="Z15" s="66">
        <f>+'ATENCIÓN (desglose)'!AA35</f>
        <v>0</v>
      </c>
      <c r="AA15" s="66">
        <f>+'ATENCIÓN (desglose)'!AB35</f>
        <v>0</v>
      </c>
      <c r="AB15" s="66">
        <f>+'ATENCIÓN (desglose)'!AC35</f>
        <v>0</v>
      </c>
      <c r="AC15" s="66">
        <f>+'ATENCIÓN (desglose)'!AD35</f>
        <v>0</v>
      </c>
      <c r="AD15" s="618">
        <f t="shared" si="5"/>
        <v>0</v>
      </c>
      <c r="AE15" s="321"/>
    </row>
    <row r="16" spans="1:33" s="315" customFormat="1" ht="109.5" customHeight="1" x14ac:dyDescent="0.3">
      <c r="A16" s="1076"/>
      <c r="B16" s="353" t="s">
        <v>10</v>
      </c>
      <c r="C16" s="319" t="s">
        <v>396</v>
      </c>
      <c r="D16" s="72">
        <f t="shared" si="2"/>
        <v>100000</v>
      </c>
      <c r="E16" s="72"/>
      <c r="F16" s="236">
        <f t="shared" si="3"/>
        <v>100000</v>
      </c>
      <c r="G16" s="66">
        <f>+'ATENCIÓN (desglose)'!H37</f>
        <v>0</v>
      </c>
      <c r="H16" s="66">
        <f>+'ATENCIÓN (desglose)'!I37</f>
        <v>0</v>
      </c>
      <c r="I16" s="66">
        <f>+'ATENCIÓN (desglose)'!J37</f>
        <v>0</v>
      </c>
      <c r="J16" s="66">
        <f>+'ATENCIÓN (desglose)'!K37</f>
        <v>0</v>
      </c>
      <c r="K16" s="66">
        <f>+'ATENCIÓN (desglose)'!L37</f>
        <v>100000</v>
      </c>
      <c r="L16" s="66">
        <f>+'ATENCIÓN (desglose)'!M37</f>
        <v>0</v>
      </c>
      <c r="M16" s="66">
        <f>+'ATENCIÓN (desglose)'!N37</f>
        <v>0</v>
      </c>
      <c r="N16" s="66">
        <f>+'ATENCIÓN (desglose)'!O37</f>
        <v>0</v>
      </c>
      <c r="O16" s="66">
        <f>+'ATENCIÓN (desglose)'!P37</f>
        <v>0</v>
      </c>
      <c r="P16" s="66">
        <f>+'ATENCIÓN (desglose)'!Q37</f>
        <v>0</v>
      </c>
      <c r="Q16" s="66">
        <f>+'ATENCIÓN (desglose)'!R37</f>
        <v>0</v>
      </c>
      <c r="R16" s="236">
        <f t="shared" si="4"/>
        <v>100000</v>
      </c>
      <c r="S16" s="66">
        <f>+'ATENCIÓN (desglose)'!T37</f>
        <v>0</v>
      </c>
      <c r="T16" s="66">
        <f>+'ATENCIÓN (desglose)'!U37</f>
        <v>0</v>
      </c>
      <c r="U16" s="66">
        <f>+'ATENCIÓN (desglose)'!V37</f>
        <v>0</v>
      </c>
      <c r="V16" s="66">
        <f>+'ATENCIÓN (desglose)'!W37</f>
        <v>0</v>
      </c>
      <c r="W16" s="66">
        <f>+'ATENCIÓN (desglose)'!X37</f>
        <v>0</v>
      </c>
      <c r="X16" s="66">
        <f>+'ATENCIÓN (desglose)'!Y37</f>
        <v>0</v>
      </c>
      <c r="Y16" s="66">
        <f>+'ATENCIÓN (desglose)'!Z37</f>
        <v>0</v>
      </c>
      <c r="Z16" s="66">
        <f>+'ATENCIÓN (desglose)'!AA37</f>
        <v>0</v>
      </c>
      <c r="AA16" s="66">
        <f>+'ATENCIÓN (desglose)'!AB37</f>
        <v>0</v>
      </c>
      <c r="AB16" s="66">
        <f>+'ATENCIÓN (desglose)'!AC37</f>
        <v>0</v>
      </c>
      <c r="AC16" s="66">
        <f>+'ATENCIÓN (desglose)'!AD37</f>
        <v>0</v>
      </c>
      <c r="AD16" s="236">
        <f t="shared" si="5"/>
        <v>0</v>
      </c>
      <c r="AE16" s="321"/>
    </row>
    <row r="17" spans="1:31" s="315" customFormat="1" ht="114" customHeight="1" x14ac:dyDescent="0.3">
      <c r="A17" s="1076"/>
      <c r="B17" s="353" t="s">
        <v>67</v>
      </c>
      <c r="C17" s="245" t="s">
        <v>397</v>
      </c>
      <c r="D17" s="72"/>
      <c r="E17" s="72">
        <f>+R17+AD17</f>
        <v>1255000</v>
      </c>
      <c r="F17" s="236">
        <f>+D17+E17</f>
        <v>1255000</v>
      </c>
      <c r="G17" s="66">
        <f>+'ATENCIÓN (desglose)'!H39</f>
        <v>0</v>
      </c>
      <c r="H17" s="66">
        <f>+'ATENCIÓN (desglose)'!I39</f>
        <v>0</v>
      </c>
      <c r="I17" s="66">
        <f>+'ATENCIÓN (desglose)'!J39</f>
        <v>0</v>
      </c>
      <c r="J17" s="66">
        <f>+'ATENCIÓN (desglose)'!K39</f>
        <v>0</v>
      </c>
      <c r="K17" s="66">
        <f>+'ATENCIÓN (desglose)'!L39</f>
        <v>0</v>
      </c>
      <c r="L17" s="66">
        <f>+'ATENCIÓN (desglose)'!M39</f>
        <v>0</v>
      </c>
      <c r="M17" s="66">
        <f>+'ATENCIÓN (desglose)'!N39</f>
        <v>0</v>
      </c>
      <c r="N17" s="66">
        <f>+'ATENCIÓN (desglose)'!O39</f>
        <v>0</v>
      </c>
      <c r="O17" s="66">
        <f>+'ATENCIÓN (desglose)'!P39</f>
        <v>100000</v>
      </c>
      <c r="P17" s="66">
        <f>+'ATENCIÓN (desglose)'!Q39</f>
        <v>0</v>
      </c>
      <c r="Q17" s="66">
        <f>+'ATENCIÓN (desglose)'!R39</f>
        <v>250000</v>
      </c>
      <c r="R17" s="618">
        <f t="shared" si="4"/>
        <v>350000</v>
      </c>
      <c r="S17" s="66">
        <f>+'ATENCIÓN (desglose)'!T39</f>
        <v>0</v>
      </c>
      <c r="T17" s="66">
        <f>+'ATENCIÓN (desglose)'!U39</f>
        <v>0</v>
      </c>
      <c r="U17" s="66">
        <f>+'ATENCIÓN (desglose)'!V39</f>
        <v>555000</v>
      </c>
      <c r="V17" s="66">
        <f>+'ATENCIÓN (desglose)'!W39</f>
        <v>350000</v>
      </c>
      <c r="W17" s="66">
        <f>+'ATENCIÓN (desglose)'!X39</f>
        <v>0</v>
      </c>
      <c r="X17" s="66">
        <f>+'ATENCIÓN (desglose)'!Y39</f>
        <v>0</v>
      </c>
      <c r="Y17" s="66">
        <f>+'ATENCIÓN (desglose)'!Z39</f>
        <v>0</v>
      </c>
      <c r="Z17" s="66">
        <f>+'ATENCIÓN (desglose)'!AA39</f>
        <v>0</v>
      </c>
      <c r="AA17" s="66">
        <f>+'ATENCIÓN (desglose)'!AB39</f>
        <v>0</v>
      </c>
      <c r="AB17" s="66">
        <f>+'ATENCIÓN (desglose)'!AC39</f>
        <v>0</v>
      </c>
      <c r="AC17" s="66">
        <f>+'ATENCIÓN (desglose)'!AD39</f>
        <v>0</v>
      </c>
      <c r="AD17" s="618">
        <f t="shared" si="5"/>
        <v>905000</v>
      </c>
      <c r="AE17" s="321"/>
    </row>
    <row r="18" spans="1:31" s="315" customFormat="1" ht="56.4" customHeight="1" x14ac:dyDescent="0.3">
      <c r="A18" s="1076"/>
      <c r="B18" s="353" t="s">
        <v>68</v>
      </c>
      <c r="C18" s="245" t="s">
        <v>548</v>
      </c>
      <c r="D18" s="72">
        <f t="shared" si="2"/>
        <v>796780</v>
      </c>
      <c r="E18" s="72"/>
      <c r="F18" s="236">
        <f t="shared" si="3"/>
        <v>796780</v>
      </c>
      <c r="G18" s="66">
        <f>+'ATENCIÓN (desglose)'!H43</f>
        <v>0</v>
      </c>
      <c r="H18" s="66">
        <f>+'ATENCIÓN (desglose)'!I43</f>
        <v>0</v>
      </c>
      <c r="I18" s="66">
        <f>+'ATENCIÓN (desglose)'!J43</f>
        <v>0</v>
      </c>
      <c r="J18" s="66">
        <f>+'ATENCIÓN (desglose)'!K43</f>
        <v>65000</v>
      </c>
      <c r="K18" s="66">
        <f>+'ATENCIÓN (desglose)'!L43</f>
        <v>15000</v>
      </c>
      <c r="L18" s="66">
        <f>+'ATENCIÓN (desglose)'!M43</f>
        <v>15000</v>
      </c>
      <c r="M18" s="66">
        <f>+'ATENCIÓN (desglose)'!N43</f>
        <v>74330</v>
      </c>
      <c r="N18" s="66">
        <f>+'ATENCIÓN (desglose)'!O43</f>
        <v>0</v>
      </c>
      <c r="O18" s="66">
        <f>+'ATENCIÓN (desglose)'!P43</f>
        <v>0</v>
      </c>
      <c r="P18" s="66">
        <f>+'ATENCIÓN (desglose)'!Q43</f>
        <v>0</v>
      </c>
      <c r="Q18" s="66">
        <f>+'ATENCIÓN (desglose)'!R43</f>
        <v>0</v>
      </c>
      <c r="R18" s="236">
        <f t="shared" si="4"/>
        <v>169330</v>
      </c>
      <c r="S18" s="66">
        <f>+'ATENCIÓN (desglose)'!T43</f>
        <v>0</v>
      </c>
      <c r="T18" s="66">
        <f>+'ATENCIÓN (desglose)'!U43</f>
        <v>0</v>
      </c>
      <c r="U18" s="66">
        <f>+'ATENCIÓN (desglose)'!V43</f>
        <v>73150</v>
      </c>
      <c r="V18" s="66">
        <f>+'ATENCIÓN (desglose)'!W43</f>
        <v>0</v>
      </c>
      <c r="W18" s="66">
        <f>+'ATENCIÓN (desglose)'!X43</f>
        <v>64150</v>
      </c>
      <c r="X18" s="66">
        <f>+'ATENCIÓN (desglose)'!Y43</f>
        <v>0</v>
      </c>
      <c r="Y18" s="66">
        <f>+'ATENCIÓN (desglose)'!Z43</f>
        <v>154150</v>
      </c>
      <c r="Z18" s="66">
        <f>+'ATENCIÓN (desglose)'!AA43</f>
        <v>90000</v>
      </c>
      <c r="AA18" s="66">
        <f>+'ATENCIÓN (desglose)'!AB43</f>
        <v>90000</v>
      </c>
      <c r="AB18" s="66">
        <f>+'ATENCIÓN (desglose)'!AC43</f>
        <v>90000</v>
      </c>
      <c r="AC18" s="66">
        <f>+'ATENCIÓN (desglose)'!AD43</f>
        <v>66000</v>
      </c>
      <c r="AD18" s="236">
        <f t="shared" si="5"/>
        <v>627450</v>
      </c>
      <c r="AE18" s="321"/>
    </row>
    <row r="19" spans="1:31" s="315" customFormat="1" ht="100.5" customHeight="1" x14ac:dyDescent="0.3">
      <c r="A19" s="1077"/>
      <c r="B19" s="356" t="s">
        <v>69</v>
      </c>
      <c r="C19" s="274" t="s">
        <v>773</v>
      </c>
      <c r="D19" s="72"/>
      <c r="E19" s="72">
        <f>+R19+AD19</f>
        <v>656813.53</v>
      </c>
      <c r="F19" s="236">
        <f>+D19+E19</f>
        <v>656813.53</v>
      </c>
      <c r="G19" s="66">
        <f>+'ATENCIÓN (desglose)'!H51</f>
        <v>0</v>
      </c>
      <c r="H19" s="66">
        <f>+'ATENCIÓN (desglose)'!I51</f>
        <v>0</v>
      </c>
      <c r="I19" s="66">
        <f>+'ATENCIÓN (desglose)'!J51</f>
        <v>0</v>
      </c>
      <c r="J19" s="66">
        <f>+'ATENCIÓN (desglose)'!K51</f>
        <v>35000</v>
      </c>
      <c r="K19" s="66">
        <f>+'ATENCIÓN (desglose)'!L51</f>
        <v>0</v>
      </c>
      <c r="L19" s="66">
        <f>+'ATENCIÓN (desglose)'!M51</f>
        <v>0</v>
      </c>
      <c r="M19" s="66">
        <f>+'ATENCIÓN (desglose)'!N51</f>
        <v>0</v>
      </c>
      <c r="N19" s="66">
        <f>+'ATENCIÓN (desglose)'!O51</f>
        <v>190000</v>
      </c>
      <c r="O19" s="66">
        <f>+'ATENCIÓN (desglose)'!P51</f>
        <v>0</v>
      </c>
      <c r="P19" s="66">
        <f>+'ATENCIÓN (desglose)'!Q51</f>
        <v>0</v>
      </c>
      <c r="Q19" s="66">
        <f>+'ATENCIÓN (desglose)'!R51</f>
        <v>0</v>
      </c>
      <c r="R19" s="618">
        <f t="shared" si="4"/>
        <v>225000</v>
      </c>
      <c r="S19" s="66">
        <f>+'ATENCIÓN (desglose)'!T51</f>
        <v>0</v>
      </c>
      <c r="T19" s="66">
        <f>+'ATENCIÓN (desglose)'!U51</f>
        <v>256813.53</v>
      </c>
      <c r="U19" s="66">
        <f>+'ATENCIÓN (desglose)'!V51</f>
        <v>0</v>
      </c>
      <c r="V19" s="66">
        <f>+'ATENCIÓN (desglose)'!W51</f>
        <v>0</v>
      </c>
      <c r="W19" s="66">
        <f>+'ATENCIÓN (desglose)'!X51</f>
        <v>125000</v>
      </c>
      <c r="X19" s="66">
        <f>+'ATENCIÓN (desglose)'!Y51</f>
        <v>50000</v>
      </c>
      <c r="Y19" s="66">
        <f>+'ATENCIÓN (desglose)'!Z51</f>
        <v>0</v>
      </c>
      <c r="Z19" s="66">
        <f>+'ATENCIÓN (desglose)'!AA51</f>
        <v>0</v>
      </c>
      <c r="AA19" s="66">
        <f>+'ATENCIÓN (desglose)'!AB51</f>
        <v>0</v>
      </c>
      <c r="AB19" s="66">
        <f>+'ATENCIÓN (desglose)'!AC51</f>
        <v>0</v>
      </c>
      <c r="AC19" s="66">
        <f>+'ATENCIÓN (desglose)'!AD51</f>
        <v>0</v>
      </c>
      <c r="AD19" s="618">
        <f t="shared" si="5"/>
        <v>431813.53</v>
      </c>
      <c r="AE19" s="321"/>
    </row>
    <row r="20" spans="1:31" s="67" customFormat="1" ht="28.5" customHeight="1" x14ac:dyDescent="0.3">
      <c r="A20" s="282" t="s">
        <v>251</v>
      </c>
      <c r="B20" s="361"/>
      <c r="C20" s="284"/>
      <c r="D20" s="283"/>
      <c r="E20" s="283"/>
      <c r="F20" s="285"/>
      <c r="G20" s="222"/>
      <c r="H20" s="222"/>
      <c r="I20" s="222"/>
      <c r="J20" s="222"/>
      <c r="K20" s="222"/>
      <c r="L20" s="222"/>
      <c r="M20" s="222"/>
      <c r="N20" s="222"/>
      <c r="O20" s="222"/>
      <c r="P20" s="222"/>
      <c r="Q20" s="222"/>
      <c r="R20" s="222"/>
      <c r="S20" s="222"/>
      <c r="T20" s="222"/>
      <c r="U20" s="222"/>
      <c r="V20" s="222"/>
      <c r="W20" s="222"/>
      <c r="X20" s="222"/>
      <c r="Y20" s="222"/>
      <c r="Z20" s="222"/>
      <c r="AA20" s="222"/>
      <c r="AB20" s="222"/>
      <c r="AC20" s="222"/>
      <c r="AD20" s="222"/>
      <c r="AE20" s="223"/>
    </row>
    <row r="21" spans="1:31" ht="30" customHeight="1" x14ac:dyDescent="0.3">
      <c r="A21" s="1075" t="s">
        <v>786</v>
      </c>
      <c r="B21" s="266"/>
      <c r="C21" s="272"/>
      <c r="D21" s="267">
        <f>SUM(D22:D26)</f>
        <v>2470908.6</v>
      </c>
      <c r="E21" s="267">
        <f>SUM(E22:E26)</f>
        <v>355000</v>
      </c>
      <c r="F21" s="267">
        <f>SUM(F22:F26)</f>
        <v>2825908.6</v>
      </c>
      <c r="G21" s="267">
        <f t="shared" ref="G21:AE21" si="6">SUM(G22:G26)</f>
        <v>22000</v>
      </c>
      <c r="H21" s="267">
        <f t="shared" si="6"/>
        <v>22000</v>
      </c>
      <c r="I21" s="267">
        <f t="shared" si="6"/>
        <v>22000</v>
      </c>
      <c r="J21" s="267">
        <f t="shared" si="6"/>
        <v>51150</v>
      </c>
      <c r="K21" s="267">
        <f t="shared" si="6"/>
        <v>120000</v>
      </c>
      <c r="L21" s="267">
        <f t="shared" si="6"/>
        <v>196500</v>
      </c>
      <c r="M21" s="267">
        <f t="shared" si="6"/>
        <v>148000</v>
      </c>
      <c r="N21" s="267">
        <f t="shared" si="6"/>
        <v>340000</v>
      </c>
      <c r="O21" s="267">
        <f t="shared" si="6"/>
        <v>85000</v>
      </c>
      <c r="P21" s="267">
        <f t="shared" si="6"/>
        <v>335000</v>
      </c>
      <c r="Q21" s="267">
        <f t="shared" si="6"/>
        <v>81000</v>
      </c>
      <c r="R21" s="267">
        <f t="shared" si="6"/>
        <v>1422650</v>
      </c>
      <c r="S21" s="267">
        <f t="shared" si="6"/>
        <v>56000</v>
      </c>
      <c r="T21" s="267">
        <f t="shared" si="6"/>
        <v>147500</v>
      </c>
      <c r="U21" s="267">
        <f t="shared" si="6"/>
        <v>341450</v>
      </c>
      <c r="V21" s="267">
        <f t="shared" si="6"/>
        <v>225458</v>
      </c>
      <c r="W21" s="267">
        <f t="shared" si="6"/>
        <v>59000</v>
      </c>
      <c r="X21" s="267">
        <f t="shared" si="6"/>
        <v>165850.6</v>
      </c>
      <c r="Y21" s="267">
        <f t="shared" si="6"/>
        <v>84000</v>
      </c>
      <c r="Z21" s="267">
        <f t="shared" si="6"/>
        <v>81000</v>
      </c>
      <c r="AA21" s="267">
        <f t="shared" si="6"/>
        <v>81000</v>
      </c>
      <c r="AB21" s="267">
        <f t="shared" si="6"/>
        <v>81000</v>
      </c>
      <c r="AC21" s="267">
        <f t="shared" si="6"/>
        <v>81000</v>
      </c>
      <c r="AD21" s="267">
        <f t="shared" si="6"/>
        <v>1403258.6</v>
      </c>
      <c r="AE21" s="267">
        <f t="shared" si="6"/>
        <v>0</v>
      </c>
    </row>
    <row r="22" spans="1:31" s="315" customFormat="1" ht="34.950000000000003" customHeight="1" x14ac:dyDescent="0.3">
      <c r="A22" s="1076"/>
      <c r="B22" s="355" t="s">
        <v>2</v>
      </c>
      <c r="C22" s="232" t="s">
        <v>244</v>
      </c>
      <c r="D22" s="72">
        <f>+R22+AD22</f>
        <v>751000</v>
      </c>
      <c r="E22" s="72"/>
      <c r="F22" s="236">
        <f>+D22+E22</f>
        <v>751000</v>
      </c>
      <c r="G22" s="66">
        <f>+'ATENCIÓN (desglose)'!H56</f>
        <v>22000</v>
      </c>
      <c r="H22" s="66">
        <f>+'ATENCIÓN (desglose)'!I56</f>
        <v>22000</v>
      </c>
      <c r="I22" s="66">
        <f>+'ATENCIÓN (desglose)'!J56</f>
        <v>22000</v>
      </c>
      <c r="J22" s="66">
        <f>+'ATENCIÓN (desglose)'!K56</f>
        <v>37000</v>
      </c>
      <c r="K22" s="66">
        <f>+'ATENCIÓN (desglose)'!L56</f>
        <v>48000</v>
      </c>
      <c r="L22" s="66">
        <f>+'ATENCIÓN (desglose)'!M56</f>
        <v>48000</v>
      </c>
      <c r="M22" s="66">
        <f>+'ATENCIÓN (desglose)'!N56</f>
        <v>48000</v>
      </c>
      <c r="N22" s="66">
        <f>+'ATENCIÓN (desglose)'!O56</f>
        <v>85000</v>
      </c>
      <c r="O22" s="66">
        <f>+'ATENCIÓN (desglose)'!P56</f>
        <v>85000</v>
      </c>
      <c r="P22" s="66">
        <f>+'ATENCIÓN (desglose)'!Q56</f>
        <v>85000</v>
      </c>
      <c r="Q22" s="66">
        <f>+'ATENCIÓN (desglose)'!R56</f>
        <v>81000</v>
      </c>
      <c r="R22" s="236">
        <f>SUM(G22:Q22)</f>
        <v>583000</v>
      </c>
      <c r="S22" s="66">
        <f>+'ATENCIÓN (desglose)'!T56</f>
        <v>0</v>
      </c>
      <c r="T22" s="66">
        <f>+'ATENCIÓN (desglose)'!U56</f>
        <v>3000</v>
      </c>
      <c r="U22" s="66">
        <f>+'ATENCIÓN (desglose)'!V56</f>
        <v>3000</v>
      </c>
      <c r="V22" s="66">
        <f>+'ATENCIÓN (desglose)'!W56</f>
        <v>3000</v>
      </c>
      <c r="W22" s="66">
        <f>+'ATENCIÓN (desglose)'!X56</f>
        <v>3000</v>
      </c>
      <c r="X22" s="66">
        <f>+'ATENCIÓN (desglose)'!Y56</f>
        <v>28000</v>
      </c>
      <c r="Y22" s="66">
        <f>+'ATENCIÓN (desglose)'!Z56</f>
        <v>28000</v>
      </c>
      <c r="Z22" s="66">
        <f>+'ATENCIÓN (desglose)'!AA56</f>
        <v>25000</v>
      </c>
      <c r="AA22" s="66">
        <f>+'ATENCIÓN (desglose)'!AB56</f>
        <v>25000</v>
      </c>
      <c r="AB22" s="66">
        <f>+'ATENCIÓN (desglose)'!AC56</f>
        <v>25000</v>
      </c>
      <c r="AC22" s="66">
        <f>+'ATENCIÓN (desglose)'!AD56</f>
        <v>25000</v>
      </c>
      <c r="AD22" s="236">
        <f>SUM(S22:AC22)</f>
        <v>168000</v>
      </c>
      <c r="AE22" s="321"/>
    </row>
    <row r="23" spans="1:31" s="315" customFormat="1" ht="132.75" customHeight="1" x14ac:dyDescent="0.3">
      <c r="A23" s="1076"/>
      <c r="B23" s="352" t="s">
        <v>3</v>
      </c>
      <c r="C23" s="232" t="s">
        <v>399</v>
      </c>
      <c r="D23" s="72"/>
      <c r="E23" s="72">
        <f>+R23+AD23</f>
        <v>155000</v>
      </c>
      <c r="F23" s="236">
        <f>+D23+E23</f>
        <v>155000</v>
      </c>
      <c r="G23" s="66">
        <f>+'ATENCIÓN (desglose)'!H63</f>
        <v>0</v>
      </c>
      <c r="H23" s="66">
        <f>+'ATENCIÓN (desglose)'!I63</f>
        <v>0</v>
      </c>
      <c r="I23" s="66">
        <f>+'ATENCIÓN (desglose)'!J63</f>
        <v>0</v>
      </c>
      <c r="J23" s="66">
        <f>+'ATENCIÓN (desglose)'!K63</f>
        <v>0</v>
      </c>
      <c r="K23" s="66">
        <f>+'ATENCIÓN (desglose)'!L63</f>
        <v>0</v>
      </c>
      <c r="L23" s="66">
        <f>+'ATENCIÓN (desglose)'!M63</f>
        <v>0</v>
      </c>
      <c r="M23" s="66">
        <f>+'ATENCIÓN (desglose)'!N63</f>
        <v>0</v>
      </c>
      <c r="N23" s="66">
        <f>+'ATENCIÓN (desglose)'!O63</f>
        <v>155000</v>
      </c>
      <c r="O23" s="66">
        <f>+'ATENCIÓN (desglose)'!P63</f>
        <v>0</v>
      </c>
      <c r="P23" s="66">
        <f>+'ATENCIÓN (desglose)'!Q63</f>
        <v>0</v>
      </c>
      <c r="Q23" s="66">
        <f>+'ATENCIÓN (desglose)'!R63</f>
        <v>0</v>
      </c>
      <c r="R23" s="618">
        <f>SUM(G23:Q23)</f>
        <v>155000</v>
      </c>
      <c r="S23" s="66">
        <f>+'ATENCIÓN (desglose)'!T63</f>
        <v>0</v>
      </c>
      <c r="T23" s="66">
        <f>+'ATENCIÓN (desglose)'!U63</f>
        <v>0</v>
      </c>
      <c r="U23" s="66">
        <f>+'ATENCIÓN (desglose)'!V63</f>
        <v>0</v>
      </c>
      <c r="V23" s="66">
        <f>+'ATENCIÓN (desglose)'!W63</f>
        <v>0</v>
      </c>
      <c r="W23" s="66">
        <f>+'ATENCIÓN (desglose)'!X63</f>
        <v>0</v>
      </c>
      <c r="X23" s="66">
        <f>+'ATENCIÓN (desglose)'!Y63</f>
        <v>0</v>
      </c>
      <c r="Y23" s="66">
        <f>+'ATENCIÓN (desglose)'!Z63</f>
        <v>0</v>
      </c>
      <c r="Z23" s="66">
        <f>+'ATENCIÓN (desglose)'!AA63</f>
        <v>0</v>
      </c>
      <c r="AA23" s="66">
        <f>+'ATENCIÓN (desglose)'!AB63</f>
        <v>0</v>
      </c>
      <c r="AB23" s="66">
        <f>+'ATENCIÓN (desglose)'!AC63</f>
        <v>0</v>
      </c>
      <c r="AC23" s="66">
        <f>+'ATENCIÓN (desglose)'!AD63</f>
        <v>0</v>
      </c>
      <c r="AD23" s="618">
        <f>SUM(S23:AC23)</f>
        <v>0</v>
      </c>
      <c r="AE23" s="321"/>
    </row>
    <row r="24" spans="1:31" s="315" customFormat="1" ht="127.5" customHeight="1" x14ac:dyDescent="0.3">
      <c r="A24" s="1076"/>
      <c r="B24" s="352" t="s">
        <v>4</v>
      </c>
      <c r="C24" s="232" t="s">
        <v>552</v>
      </c>
      <c r="D24" s="72">
        <f>+R24+AD24</f>
        <v>645000</v>
      </c>
      <c r="E24" s="72"/>
      <c r="F24" s="236">
        <f>+D24+E24</f>
        <v>645000</v>
      </c>
      <c r="G24" s="66">
        <f>+'ATENCIÓN (desglose)'!H65</f>
        <v>0</v>
      </c>
      <c r="H24" s="66">
        <f>+'ATENCIÓN (desglose)'!I65</f>
        <v>0</v>
      </c>
      <c r="I24" s="66">
        <f>+'ATENCIÓN (desglose)'!J65</f>
        <v>0</v>
      </c>
      <c r="J24" s="66">
        <f>+'ATENCIÓN (desglose)'!K65</f>
        <v>0</v>
      </c>
      <c r="K24" s="66">
        <f>+'ATENCIÓN (desglose)'!L65</f>
        <v>72000</v>
      </c>
      <c r="L24" s="66">
        <f>+'ATENCIÓN (desglose)'!M65</f>
        <v>148500</v>
      </c>
      <c r="M24" s="66">
        <f>+'ATENCIÓN (desglose)'!N65</f>
        <v>0</v>
      </c>
      <c r="N24" s="66">
        <f>+'ATENCIÓN (desglose)'!O65</f>
        <v>0</v>
      </c>
      <c r="O24" s="66">
        <f>+'ATENCIÓN (desglose)'!P65</f>
        <v>0</v>
      </c>
      <c r="P24" s="66">
        <f>+'ATENCIÓN (desglose)'!Q65</f>
        <v>0</v>
      </c>
      <c r="Q24" s="66">
        <f>+'ATENCIÓN (desglose)'!R65</f>
        <v>0</v>
      </c>
      <c r="R24" s="236">
        <f>SUM(G24:Q24)</f>
        <v>220500</v>
      </c>
      <c r="S24" s="66">
        <f>+'ATENCIÓN (desglose)'!T65</f>
        <v>56000</v>
      </c>
      <c r="T24" s="66">
        <f>+'ATENCIÓN (desglose)'!U65</f>
        <v>144500</v>
      </c>
      <c r="U24" s="66">
        <f>+'ATENCIÓN (desglose)'!V65</f>
        <v>56000</v>
      </c>
      <c r="V24" s="66">
        <f>+'ATENCIÓN (desglose)'!W65</f>
        <v>56000</v>
      </c>
      <c r="W24" s="66">
        <f>+'ATENCIÓN (desglose)'!X65</f>
        <v>56000</v>
      </c>
      <c r="X24" s="66">
        <f>+'ATENCIÓN (desglose)'!Y65</f>
        <v>56000</v>
      </c>
      <c r="Y24" s="66">
        <f>+'ATENCIÓN (desglose)'!Z65</f>
        <v>0</v>
      </c>
      <c r="Z24" s="66">
        <f>+'ATENCIÓN (desglose)'!AA65</f>
        <v>0</v>
      </c>
      <c r="AA24" s="66">
        <f>+'ATENCIÓN (desglose)'!AB65</f>
        <v>0</v>
      </c>
      <c r="AB24" s="66">
        <f>+'ATENCIÓN (desglose)'!AC65</f>
        <v>0</v>
      </c>
      <c r="AC24" s="66">
        <f>+'ATENCIÓN (desglose)'!AD65</f>
        <v>0</v>
      </c>
      <c r="AD24" s="236">
        <f>SUM(S24:AC24)</f>
        <v>424500</v>
      </c>
      <c r="AE24" s="321"/>
    </row>
    <row r="25" spans="1:31" s="315" customFormat="1" ht="87" customHeight="1" x14ac:dyDescent="0.3">
      <c r="A25" s="1076"/>
      <c r="B25" s="356" t="s">
        <v>8</v>
      </c>
      <c r="C25" s="274" t="s">
        <v>243</v>
      </c>
      <c r="D25" s="72"/>
      <c r="E25" s="72">
        <f>+R25+AD25</f>
        <v>200000</v>
      </c>
      <c r="F25" s="236">
        <f>+D25+E25</f>
        <v>200000</v>
      </c>
      <c r="G25" s="66">
        <f>+'ATENCIÓN (desglose)'!H70</f>
        <v>0</v>
      </c>
      <c r="H25" s="66">
        <f>+'ATENCIÓN (desglose)'!I70</f>
        <v>0</v>
      </c>
      <c r="I25" s="66">
        <f>+'ATENCIÓN (desglose)'!J70</f>
        <v>0</v>
      </c>
      <c r="J25" s="66">
        <f>+'ATENCIÓN (desglose)'!K70</f>
        <v>0</v>
      </c>
      <c r="K25" s="66">
        <f>+'ATENCIÓN (desglose)'!L70</f>
        <v>0</v>
      </c>
      <c r="L25" s="66">
        <f>+'ATENCIÓN (desglose)'!M70</f>
        <v>0</v>
      </c>
      <c r="M25" s="66">
        <f>+'ATENCIÓN (desglose)'!N70</f>
        <v>0</v>
      </c>
      <c r="N25" s="66">
        <f>+'ATENCIÓN (desglose)'!O70</f>
        <v>100000</v>
      </c>
      <c r="O25" s="66">
        <f>+'ATENCIÓN (desglose)'!P70</f>
        <v>0</v>
      </c>
      <c r="P25" s="66">
        <f>+'ATENCIÓN (desglose)'!Q70</f>
        <v>0</v>
      </c>
      <c r="Q25" s="66">
        <f>+'ATENCIÓN (desglose)'!R70</f>
        <v>0</v>
      </c>
      <c r="R25" s="618">
        <f>SUM(G25:Q25)</f>
        <v>100000</v>
      </c>
      <c r="S25" s="66">
        <f>+'ATENCIÓN (desglose)'!T70</f>
        <v>0</v>
      </c>
      <c r="T25" s="66">
        <f>+'ATENCIÓN (desglose)'!U70</f>
        <v>0</v>
      </c>
      <c r="U25" s="66">
        <f>+'ATENCIÓN (desglose)'!V70</f>
        <v>100000</v>
      </c>
      <c r="V25" s="66">
        <f>+'ATENCIÓN (desglose)'!W70</f>
        <v>0</v>
      </c>
      <c r="W25" s="66">
        <f>+'ATENCIÓN (desglose)'!X70</f>
        <v>0</v>
      </c>
      <c r="X25" s="66">
        <f>+'ATENCIÓN (desglose)'!Y70</f>
        <v>0</v>
      </c>
      <c r="Y25" s="66">
        <f>+'ATENCIÓN (desglose)'!Z70</f>
        <v>0</v>
      </c>
      <c r="Z25" s="66">
        <f>+'ATENCIÓN (desglose)'!AA70</f>
        <v>0</v>
      </c>
      <c r="AA25" s="66">
        <f>+'ATENCIÓN (desglose)'!AB70</f>
        <v>0</v>
      </c>
      <c r="AB25" s="66">
        <f>+'ATENCIÓN (desglose)'!AC70</f>
        <v>0</v>
      </c>
      <c r="AC25" s="66">
        <f>+'ATENCIÓN (desglose)'!AD70</f>
        <v>0</v>
      </c>
      <c r="AD25" s="618">
        <f>SUM(S25:AC25)</f>
        <v>100000</v>
      </c>
      <c r="AE25" s="321"/>
    </row>
    <row r="26" spans="1:31" s="315" customFormat="1" ht="88.95" customHeight="1" x14ac:dyDescent="0.3">
      <c r="A26" s="1077"/>
      <c r="B26" s="353" t="s">
        <v>9</v>
      </c>
      <c r="C26" s="245" t="s">
        <v>245</v>
      </c>
      <c r="D26" s="72">
        <f>+R26+AD26</f>
        <v>1074908.6000000001</v>
      </c>
      <c r="E26" s="72"/>
      <c r="F26" s="236">
        <f>+D26+E26</f>
        <v>1074908.6000000001</v>
      </c>
      <c r="G26" s="66">
        <f>+'ATENCIÓN (desglose)'!H72</f>
        <v>0</v>
      </c>
      <c r="H26" s="66">
        <f>+'ATENCIÓN (desglose)'!I72</f>
        <v>0</v>
      </c>
      <c r="I26" s="66">
        <f>+'ATENCIÓN (desglose)'!J72</f>
        <v>0</v>
      </c>
      <c r="J26" s="66">
        <f>+'ATENCIÓN (desglose)'!K72</f>
        <v>14150</v>
      </c>
      <c r="K26" s="66">
        <f>+'ATENCIÓN (desglose)'!L72</f>
        <v>0</v>
      </c>
      <c r="L26" s="66">
        <f>+'ATENCIÓN (desglose)'!M72</f>
        <v>0</v>
      </c>
      <c r="M26" s="66">
        <f>+'ATENCIÓN (desglose)'!N72</f>
        <v>100000</v>
      </c>
      <c r="N26" s="66">
        <f>+'ATENCIÓN (desglose)'!O72</f>
        <v>0</v>
      </c>
      <c r="O26" s="66">
        <f>+'ATENCIÓN (desglose)'!P72</f>
        <v>0</v>
      </c>
      <c r="P26" s="66">
        <f>+'ATENCIÓN (desglose)'!Q72</f>
        <v>250000</v>
      </c>
      <c r="Q26" s="66">
        <f>+'ATENCIÓN (desglose)'!R72</f>
        <v>0</v>
      </c>
      <c r="R26" s="236">
        <f>SUM(G26:Q26)</f>
        <v>364150</v>
      </c>
      <c r="S26" s="66">
        <f>+'ATENCIÓN (desglose)'!T72</f>
        <v>0</v>
      </c>
      <c r="T26" s="66">
        <f>+'ATENCIÓN (desglose)'!U72</f>
        <v>0</v>
      </c>
      <c r="U26" s="66">
        <f>+'ATENCIÓN (desglose)'!V72</f>
        <v>182450</v>
      </c>
      <c r="V26" s="66">
        <f>+'ATENCIÓN (desglose)'!W72</f>
        <v>166458</v>
      </c>
      <c r="W26" s="66">
        <f>+'ATENCIÓN (desglose)'!X72</f>
        <v>0</v>
      </c>
      <c r="X26" s="66">
        <f>+'ATENCIÓN (desglose)'!Y72</f>
        <v>81850.600000000006</v>
      </c>
      <c r="Y26" s="66">
        <f>+'ATENCIÓN (desglose)'!Z72</f>
        <v>56000</v>
      </c>
      <c r="Z26" s="66">
        <f>+'ATENCIÓN (desglose)'!AA72</f>
        <v>56000</v>
      </c>
      <c r="AA26" s="66">
        <f>+'ATENCIÓN (desglose)'!AB72</f>
        <v>56000</v>
      </c>
      <c r="AB26" s="66">
        <f>+'ATENCIÓN (desglose)'!AC72</f>
        <v>56000</v>
      </c>
      <c r="AC26" s="66">
        <f>+'ATENCIÓN (desglose)'!AD72</f>
        <v>56000</v>
      </c>
      <c r="AD26" s="236">
        <f>SUM(S26:AC26)</f>
        <v>710758.6</v>
      </c>
      <c r="AE26" s="321"/>
    </row>
    <row r="27" spans="1:31" s="67" customFormat="1" ht="30.75" customHeight="1" x14ac:dyDescent="0.3">
      <c r="A27" s="320" t="s">
        <v>248</v>
      </c>
      <c r="B27" s="360"/>
      <c r="C27" s="317"/>
      <c r="D27" s="317"/>
      <c r="E27" s="317"/>
      <c r="F27" s="318"/>
      <c r="G27" s="280"/>
      <c r="H27" s="280"/>
      <c r="I27" s="280"/>
      <c r="J27" s="280"/>
      <c r="K27" s="280"/>
      <c r="L27" s="280"/>
      <c r="M27" s="280"/>
      <c r="N27" s="280"/>
      <c r="O27" s="280"/>
      <c r="P27" s="280"/>
      <c r="Q27" s="280"/>
      <c r="R27" s="57"/>
      <c r="S27" s="280"/>
      <c r="T27" s="280"/>
      <c r="U27" s="280"/>
      <c r="V27" s="280"/>
      <c r="W27" s="280"/>
      <c r="X27" s="280"/>
      <c r="Y27" s="280"/>
      <c r="Z27" s="280"/>
      <c r="AA27" s="280"/>
      <c r="AB27" s="280"/>
      <c r="AC27" s="280"/>
      <c r="AD27" s="57"/>
      <c r="AE27" s="281"/>
    </row>
    <row r="28" spans="1:31" s="67" customFormat="1" ht="33" customHeight="1" x14ac:dyDescent="0.3">
      <c r="A28" s="282" t="s">
        <v>249</v>
      </c>
      <c r="B28" s="361"/>
      <c r="C28" s="284"/>
      <c r="D28" s="283"/>
      <c r="E28" s="283"/>
      <c r="F28" s="285"/>
      <c r="G28" s="222"/>
      <c r="H28" s="222"/>
      <c r="I28" s="222"/>
      <c r="J28" s="222"/>
      <c r="K28" s="222"/>
      <c r="L28" s="222"/>
      <c r="M28" s="222"/>
      <c r="N28" s="222"/>
      <c r="O28" s="222"/>
      <c r="P28" s="222"/>
      <c r="Q28" s="222"/>
      <c r="R28" s="222"/>
      <c r="S28" s="222"/>
      <c r="T28" s="222"/>
      <c r="U28" s="222"/>
      <c r="V28" s="222"/>
      <c r="W28" s="222"/>
      <c r="X28" s="222"/>
      <c r="Y28" s="222"/>
      <c r="Z28" s="222"/>
      <c r="AA28" s="222"/>
      <c r="AB28" s="222"/>
      <c r="AC28" s="222"/>
      <c r="AD28" s="222"/>
      <c r="AE28" s="223"/>
    </row>
    <row r="29" spans="1:31" ht="35.25" customHeight="1" x14ac:dyDescent="0.3">
      <c r="A29" s="1114" t="s">
        <v>272</v>
      </c>
      <c r="B29" s="266"/>
      <c r="C29" s="272"/>
      <c r="D29" s="267">
        <f>+D30</f>
        <v>500000</v>
      </c>
      <c r="E29" s="267">
        <f t="shared" ref="E29:AD29" si="7">+E30</f>
        <v>0</v>
      </c>
      <c r="F29" s="267">
        <f t="shared" si="7"/>
        <v>500000</v>
      </c>
      <c r="G29" s="267">
        <f t="shared" si="7"/>
        <v>0</v>
      </c>
      <c r="H29" s="267">
        <f t="shared" si="7"/>
        <v>0</v>
      </c>
      <c r="I29" s="267">
        <f t="shared" si="7"/>
        <v>0</v>
      </c>
      <c r="J29" s="267">
        <f t="shared" si="7"/>
        <v>0</v>
      </c>
      <c r="K29" s="267">
        <f t="shared" si="7"/>
        <v>0</v>
      </c>
      <c r="L29" s="267">
        <f t="shared" si="7"/>
        <v>0</v>
      </c>
      <c r="M29" s="267">
        <f t="shared" si="7"/>
        <v>55700.01</v>
      </c>
      <c r="N29" s="267">
        <f t="shared" si="7"/>
        <v>50000</v>
      </c>
      <c r="O29" s="267">
        <f t="shared" si="7"/>
        <v>50000</v>
      </c>
      <c r="P29" s="267">
        <f t="shared" si="7"/>
        <v>80000</v>
      </c>
      <c r="Q29" s="267">
        <f t="shared" si="7"/>
        <v>64299.99</v>
      </c>
      <c r="R29" s="267">
        <f t="shared" si="7"/>
        <v>300000</v>
      </c>
      <c r="S29" s="267">
        <f t="shared" si="7"/>
        <v>0</v>
      </c>
      <c r="T29" s="267">
        <f t="shared" si="7"/>
        <v>0</v>
      </c>
      <c r="U29" s="267">
        <f t="shared" si="7"/>
        <v>20000</v>
      </c>
      <c r="V29" s="267">
        <f t="shared" si="7"/>
        <v>75000</v>
      </c>
      <c r="W29" s="267">
        <f t="shared" si="7"/>
        <v>10000</v>
      </c>
      <c r="X29" s="267">
        <f t="shared" si="7"/>
        <v>0</v>
      </c>
      <c r="Y29" s="267">
        <f t="shared" si="7"/>
        <v>0</v>
      </c>
      <c r="Z29" s="267">
        <f t="shared" si="7"/>
        <v>85000</v>
      </c>
      <c r="AA29" s="267">
        <f t="shared" si="7"/>
        <v>0</v>
      </c>
      <c r="AB29" s="267">
        <f t="shared" si="7"/>
        <v>0</v>
      </c>
      <c r="AC29" s="267">
        <f t="shared" si="7"/>
        <v>10000</v>
      </c>
      <c r="AD29" s="267">
        <f t="shared" si="7"/>
        <v>200000</v>
      </c>
      <c r="AE29" s="266"/>
    </row>
    <row r="30" spans="1:31" s="315" customFormat="1" ht="105" customHeight="1" x14ac:dyDescent="0.3">
      <c r="A30" s="1115"/>
      <c r="B30" s="352" t="s">
        <v>2</v>
      </c>
      <c r="C30" s="245" t="s">
        <v>273</v>
      </c>
      <c r="D30" s="72">
        <f>+R30+AD30</f>
        <v>500000</v>
      </c>
      <c r="E30" s="72"/>
      <c r="F30" s="236">
        <f>+D30+E30</f>
        <v>500000</v>
      </c>
      <c r="G30" s="66">
        <f>+'ATENCIÓN (desglose)'!H81</f>
        <v>0</v>
      </c>
      <c r="H30" s="66">
        <f>+'ATENCIÓN (desglose)'!I81</f>
        <v>0</v>
      </c>
      <c r="I30" s="66">
        <f>+'ATENCIÓN (desglose)'!J81</f>
        <v>0</v>
      </c>
      <c r="J30" s="66">
        <f>+'ATENCIÓN (desglose)'!K81</f>
        <v>0</v>
      </c>
      <c r="K30" s="66">
        <f>+'ATENCIÓN (desglose)'!L81</f>
        <v>0</v>
      </c>
      <c r="L30" s="66">
        <f>+'ATENCIÓN (desglose)'!M81</f>
        <v>0</v>
      </c>
      <c r="M30" s="66">
        <f>+'ATENCIÓN (desglose)'!N81</f>
        <v>55700.01</v>
      </c>
      <c r="N30" s="66">
        <f>+'ATENCIÓN (desglose)'!O81</f>
        <v>50000</v>
      </c>
      <c r="O30" s="66">
        <f>+'ATENCIÓN (desglose)'!P81</f>
        <v>50000</v>
      </c>
      <c r="P30" s="66">
        <f>+'ATENCIÓN (desglose)'!Q81</f>
        <v>80000</v>
      </c>
      <c r="Q30" s="66">
        <f>+'ATENCIÓN (desglose)'!R81</f>
        <v>64299.99</v>
      </c>
      <c r="R30" s="236">
        <f>SUM(G30:Q30)</f>
        <v>300000</v>
      </c>
      <c r="S30" s="66">
        <f>+'ATENCIÓN (desglose)'!T81</f>
        <v>0</v>
      </c>
      <c r="T30" s="66">
        <f>+'ATENCIÓN (desglose)'!U81</f>
        <v>0</v>
      </c>
      <c r="U30" s="66">
        <f>+'ATENCIÓN (desglose)'!V81</f>
        <v>20000</v>
      </c>
      <c r="V30" s="66">
        <f>+'ATENCIÓN (desglose)'!W81</f>
        <v>75000</v>
      </c>
      <c r="W30" s="66">
        <f>+'ATENCIÓN (desglose)'!X81</f>
        <v>10000</v>
      </c>
      <c r="X30" s="66">
        <f>+'ATENCIÓN (desglose)'!Y81</f>
        <v>0</v>
      </c>
      <c r="Y30" s="66">
        <f>+'ATENCIÓN (desglose)'!Z81</f>
        <v>0</v>
      </c>
      <c r="Z30" s="66">
        <f>+'ATENCIÓN (desglose)'!AA81</f>
        <v>85000</v>
      </c>
      <c r="AA30" s="66">
        <f>+'ATENCIÓN (desglose)'!AB81</f>
        <v>0</v>
      </c>
      <c r="AB30" s="66">
        <f>+'ATENCIÓN (desglose)'!AC81</f>
        <v>0</v>
      </c>
      <c r="AC30" s="66">
        <f>+'ATENCIÓN (desglose)'!AD81</f>
        <v>10000</v>
      </c>
      <c r="AD30" s="236">
        <f>SUM(S30:AC30)</f>
        <v>200000</v>
      </c>
      <c r="AE30" s="321"/>
    </row>
    <row r="31" spans="1:31" s="67" customFormat="1" ht="33" customHeight="1" x14ac:dyDescent="0.3">
      <c r="A31" s="1114" t="s">
        <v>97</v>
      </c>
      <c r="B31" s="266"/>
      <c r="C31" s="288"/>
      <c r="D31" s="267">
        <f t="shared" ref="D31:AD31" si="8">SUM(D32:D35)</f>
        <v>1584595.48</v>
      </c>
      <c r="E31" s="267">
        <f t="shared" si="8"/>
        <v>6412670.9199999999</v>
      </c>
      <c r="F31" s="267">
        <f t="shared" si="8"/>
        <v>7997266.4000000004</v>
      </c>
      <c r="G31" s="267">
        <f t="shared" si="8"/>
        <v>279585</v>
      </c>
      <c r="H31" s="267">
        <f t="shared" si="8"/>
        <v>869336</v>
      </c>
      <c r="I31" s="267">
        <f t="shared" si="8"/>
        <v>5115</v>
      </c>
      <c r="J31" s="267">
        <f t="shared" si="8"/>
        <v>292212.57</v>
      </c>
      <c r="K31" s="267">
        <f t="shared" si="8"/>
        <v>25000</v>
      </c>
      <c r="L31" s="267">
        <f t="shared" si="8"/>
        <v>0</v>
      </c>
      <c r="M31" s="267">
        <f t="shared" si="8"/>
        <v>224533.74</v>
      </c>
      <c r="N31" s="267">
        <f t="shared" si="8"/>
        <v>378640.92</v>
      </c>
      <c r="O31" s="267">
        <f t="shared" si="8"/>
        <v>380000</v>
      </c>
      <c r="P31" s="267">
        <f t="shared" si="8"/>
        <v>542000</v>
      </c>
      <c r="Q31" s="267">
        <f t="shared" si="8"/>
        <v>660031.65</v>
      </c>
      <c r="R31" s="267">
        <f t="shared" si="8"/>
        <v>3656454.88</v>
      </c>
      <c r="S31" s="267">
        <f t="shared" si="8"/>
        <v>90000</v>
      </c>
      <c r="T31" s="267">
        <f t="shared" si="8"/>
        <v>663880.43999999994</v>
      </c>
      <c r="U31" s="267">
        <f t="shared" si="8"/>
        <v>455000</v>
      </c>
      <c r="V31" s="267">
        <f t="shared" si="8"/>
        <v>515000</v>
      </c>
      <c r="W31" s="267">
        <f t="shared" si="8"/>
        <v>491000</v>
      </c>
      <c r="X31" s="267">
        <f t="shared" si="8"/>
        <v>1371811.9000000001</v>
      </c>
      <c r="Y31" s="267">
        <f t="shared" si="8"/>
        <v>215000</v>
      </c>
      <c r="Z31" s="267">
        <f t="shared" si="8"/>
        <v>215000</v>
      </c>
      <c r="AA31" s="267">
        <f t="shared" si="8"/>
        <v>188119.18</v>
      </c>
      <c r="AB31" s="267">
        <f t="shared" si="8"/>
        <v>136000</v>
      </c>
      <c r="AC31" s="267">
        <f t="shared" si="8"/>
        <v>0</v>
      </c>
      <c r="AD31" s="267">
        <f t="shared" si="8"/>
        <v>4340811.5200000005</v>
      </c>
      <c r="AE31" s="266"/>
    </row>
    <row r="32" spans="1:31" s="315" customFormat="1" ht="86.4" x14ac:dyDescent="0.3">
      <c r="A32" s="1116"/>
      <c r="B32" s="353" t="s">
        <v>2</v>
      </c>
      <c r="C32" s="232" t="s">
        <v>267</v>
      </c>
      <c r="D32" s="72"/>
      <c r="E32" s="72">
        <f>+R32+AD32</f>
        <v>4352639.6500000004</v>
      </c>
      <c r="F32" s="236">
        <f>+D32+E32</f>
        <v>4352639.6500000004</v>
      </c>
      <c r="G32" s="66">
        <f>+'ATENCIÓN (desglose)'!H85</f>
        <v>275575</v>
      </c>
      <c r="H32" s="66">
        <f>+'ATENCIÓN (desglose)'!I85</f>
        <v>868461</v>
      </c>
      <c r="I32" s="66">
        <f>+'ATENCIÓN (desglose)'!J85</f>
        <v>0</v>
      </c>
      <c r="J32" s="66">
        <f>+'ATENCIÓN (desglose)'!K85</f>
        <v>0</v>
      </c>
      <c r="K32" s="66">
        <f>+'ATENCIÓN (desglose)'!L85</f>
        <v>0</v>
      </c>
      <c r="L32" s="66">
        <f>+'ATENCIÓN (desglose)'!M85</f>
        <v>0</v>
      </c>
      <c r="M32" s="66">
        <f>+'ATENCIÓN (desglose)'!N85</f>
        <v>0</v>
      </c>
      <c r="N32" s="66">
        <f>+'ATENCIÓN (desglose)'!O85</f>
        <v>223640.91999999998</v>
      </c>
      <c r="O32" s="66">
        <f>+'ATENCIÓN (desglose)'!P85</f>
        <v>290000</v>
      </c>
      <c r="P32" s="66">
        <f>+'ATENCIÓN (desglose)'!Q85</f>
        <v>190000</v>
      </c>
      <c r="Q32" s="66">
        <f>+'ATENCIÓN (desglose)'!R85</f>
        <v>470031.65</v>
      </c>
      <c r="R32" s="618">
        <f>SUM(G32:Q32)</f>
        <v>2317708.5699999998</v>
      </c>
      <c r="S32" s="66">
        <f>+'ATENCIÓN (desglose)'!T85</f>
        <v>0</v>
      </c>
      <c r="T32" s="66">
        <f>+'ATENCIÓN (desglose)'!U85</f>
        <v>290000</v>
      </c>
      <c r="U32" s="66">
        <f>+'ATENCIÓN (desglose)'!V85</f>
        <v>200000</v>
      </c>
      <c r="V32" s="66">
        <f>+'ATENCIÓN (desglose)'!W85</f>
        <v>200000</v>
      </c>
      <c r="W32" s="66">
        <f>+'ATENCIÓN (desglose)'!X85</f>
        <v>290000</v>
      </c>
      <c r="X32" s="66">
        <f>+'ATENCIÓN (desglose)'!Y85</f>
        <v>1054931.08</v>
      </c>
      <c r="Y32" s="66">
        <f>+'ATENCIÓN (desglose)'!Z85</f>
        <v>0</v>
      </c>
      <c r="Z32" s="66">
        <f>+'ATENCIÓN (desglose)'!AA85</f>
        <v>0</v>
      </c>
      <c r="AA32" s="66">
        <f>+'ATENCIÓN (desglose)'!AB85</f>
        <v>0</v>
      </c>
      <c r="AB32" s="66">
        <f>+'ATENCIÓN (desglose)'!AC85</f>
        <v>0</v>
      </c>
      <c r="AC32" s="66">
        <f>+'ATENCIÓN (desglose)'!AD85</f>
        <v>0</v>
      </c>
      <c r="AD32" s="618">
        <f>SUM(S32:AC32)</f>
        <v>2034931.08</v>
      </c>
      <c r="AE32" s="321"/>
    </row>
    <row r="33" spans="1:31" s="315" customFormat="1" ht="87.75" customHeight="1" x14ac:dyDescent="0.3">
      <c r="A33" s="1116"/>
      <c r="B33" s="352" t="s">
        <v>3</v>
      </c>
      <c r="C33" s="245" t="s">
        <v>268</v>
      </c>
      <c r="D33" s="72"/>
      <c r="E33" s="72">
        <f>+R33+AD33</f>
        <v>2060031.27</v>
      </c>
      <c r="F33" s="236">
        <f>+D33+E33</f>
        <v>2060031.27</v>
      </c>
      <c r="G33" s="66">
        <f>+'ATENCIÓN (desglose)'!H89</f>
        <v>4010</v>
      </c>
      <c r="H33" s="66">
        <f>+'ATENCIÓN (desglose)'!I89</f>
        <v>875</v>
      </c>
      <c r="I33" s="66">
        <f>+'ATENCIÓN (desglose)'!J89</f>
        <v>5115</v>
      </c>
      <c r="J33" s="66">
        <f>+'ATENCIÓN (desglose)'!K89</f>
        <v>267212.57</v>
      </c>
      <c r="K33" s="66">
        <f>+'ATENCIÓN (desglose)'!L89</f>
        <v>0</v>
      </c>
      <c r="L33" s="66">
        <f>+'ATENCIÓN (desglose)'!M89</f>
        <v>0</v>
      </c>
      <c r="M33" s="66">
        <f>+'ATENCIÓN (desglose)'!N89</f>
        <v>92819.08</v>
      </c>
      <c r="N33" s="66">
        <f>+'ATENCIÓN (desglose)'!O89</f>
        <v>90000</v>
      </c>
      <c r="O33" s="66">
        <f>+'ATENCIÓN (desglose)'!P89</f>
        <v>90000</v>
      </c>
      <c r="P33" s="66">
        <f>+'ATENCIÓN (desglose)'!Q89</f>
        <v>172000</v>
      </c>
      <c r="Q33" s="66">
        <f>+'ATENCIÓN (desglose)'!R89</f>
        <v>70000</v>
      </c>
      <c r="R33" s="618">
        <f>SUM(G33:Q33)</f>
        <v>792031.65</v>
      </c>
      <c r="S33" s="66">
        <f>+'ATENCIÓN (desglose)'!T89</f>
        <v>0</v>
      </c>
      <c r="T33" s="66">
        <f>+'ATENCIÓN (desglose)'!U89</f>
        <v>183880.44</v>
      </c>
      <c r="U33" s="66">
        <f>+'ATENCIÓN (desglose)'!V89</f>
        <v>150000</v>
      </c>
      <c r="V33" s="66">
        <f>+'ATENCIÓN (desglose)'!W89</f>
        <v>150000</v>
      </c>
      <c r="W33" s="66">
        <f>+'ATENCIÓN (desglose)'!X89</f>
        <v>126000</v>
      </c>
      <c r="X33" s="66">
        <f>+'ATENCIÓN (desglose)'!Y89</f>
        <v>140000</v>
      </c>
      <c r="Y33" s="66">
        <f>+'ATENCIÓN (desglose)'!Z89</f>
        <v>140000</v>
      </c>
      <c r="Z33" s="66">
        <f>+'ATENCIÓN (desglose)'!AA89</f>
        <v>140000</v>
      </c>
      <c r="AA33" s="66">
        <f>+'ATENCIÓN (desglose)'!AB89</f>
        <v>138119.18</v>
      </c>
      <c r="AB33" s="66">
        <f>+'ATENCIÓN (desglose)'!AC89</f>
        <v>100000</v>
      </c>
      <c r="AC33" s="66">
        <f>+'ATENCIÓN (desglose)'!AD89</f>
        <v>0</v>
      </c>
      <c r="AD33" s="618">
        <f>SUM(S33:AC33)</f>
        <v>1267999.6199999999</v>
      </c>
      <c r="AE33" s="321"/>
    </row>
    <row r="34" spans="1:31" s="315" customFormat="1" ht="98.4" customHeight="1" x14ac:dyDescent="0.3">
      <c r="A34" s="1116"/>
      <c r="B34" s="353" t="s">
        <v>4</v>
      </c>
      <c r="C34" s="232" t="s">
        <v>616</v>
      </c>
      <c r="D34" s="72">
        <f>+R34+AD34</f>
        <v>966000</v>
      </c>
      <c r="E34" s="72"/>
      <c r="F34" s="236">
        <f>+D34+E34</f>
        <v>966000</v>
      </c>
      <c r="G34" s="66">
        <f>+'ATENCIÓN (desglose)'!H92</f>
        <v>0</v>
      </c>
      <c r="H34" s="66">
        <f>+'ATENCIÓN (desglose)'!I92</f>
        <v>0</v>
      </c>
      <c r="I34" s="66">
        <f>+'ATENCIÓN (desglose)'!J92</f>
        <v>0</v>
      </c>
      <c r="J34" s="66">
        <f>+'ATENCIÓN (desglose)'!K92</f>
        <v>0</v>
      </c>
      <c r="K34" s="66">
        <f>+'ATENCIÓN (desglose)'!L92</f>
        <v>0</v>
      </c>
      <c r="L34" s="66">
        <f>+'ATENCIÓN (desglose)'!M92</f>
        <v>0</v>
      </c>
      <c r="M34" s="66">
        <f>+'ATENCIÓN (desglose)'!N92</f>
        <v>0</v>
      </c>
      <c r="N34" s="66">
        <f>+'ATENCIÓN (desglose)'!O92</f>
        <v>0</v>
      </c>
      <c r="O34" s="66">
        <f>+'ATENCIÓN (desglose)'!P92</f>
        <v>0</v>
      </c>
      <c r="P34" s="66">
        <f>+'ATENCIÓN (desglose)'!Q92</f>
        <v>135000</v>
      </c>
      <c r="Q34" s="66">
        <f>+'ATENCIÓN (desglose)'!R92</f>
        <v>75000</v>
      </c>
      <c r="R34" s="236">
        <f>SUM(G34:Q34)</f>
        <v>210000</v>
      </c>
      <c r="S34" s="66">
        <f>+'ATENCIÓN (desglose)'!T92</f>
        <v>90000</v>
      </c>
      <c r="T34" s="66">
        <f>+'ATENCIÓN (desglose)'!U92</f>
        <v>100000</v>
      </c>
      <c r="U34" s="66">
        <f>+'ATENCIÓN (desglose)'!V92</f>
        <v>105000</v>
      </c>
      <c r="V34" s="66">
        <f>+'ATENCIÓN (desglose)'!W92</f>
        <v>75000</v>
      </c>
      <c r="W34" s="66">
        <f>+'ATENCIÓN (desglose)'!X92</f>
        <v>75000</v>
      </c>
      <c r="X34" s="66">
        <f>+'ATENCIÓN (desglose)'!Y92</f>
        <v>75000</v>
      </c>
      <c r="Y34" s="66">
        <f>+'ATENCIÓN (desglose)'!Z92</f>
        <v>75000</v>
      </c>
      <c r="Z34" s="66">
        <f>+'ATENCIÓN (desglose)'!AA92</f>
        <v>75000</v>
      </c>
      <c r="AA34" s="66">
        <f>+'ATENCIÓN (desglose)'!AB92</f>
        <v>50000</v>
      </c>
      <c r="AB34" s="66">
        <f>+'ATENCIÓN (desglose)'!AC92</f>
        <v>36000</v>
      </c>
      <c r="AC34" s="66">
        <f>+'ATENCIÓN (desglose)'!AD92</f>
        <v>0</v>
      </c>
      <c r="AD34" s="236">
        <f>SUM(S34:AC34)</f>
        <v>756000</v>
      </c>
      <c r="AE34" s="321"/>
    </row>
    <row r="35" spans="1:31" s="315" customFormat="1" ht="58.95" customHeight="1" x14ac:dyDescent="0.3">
      <c r="A35" s="1115"/>
      <c r="B35" s="548" t="s">
        <v>8</v>
      </c>
      <c r="C35" s="232" t="s">
        <v>613</v>
      </c>
      <c r="D35" s="72">
        <f>+R35+AD35</f>
        <v>618595.48</v>
      </c>
      <c r="E35" s="72"/>
      <c r="F35" s="236">
        <f>+D35+E35</f>
        <v>618595.48</v>
      </c>
      <c r="G35" s="66">
        <f>+'ATENCIÓN (desglose)'!H95</f>
        <v>0</v>
      </c>
      <c r="H35" s="66">
        <f>+'ATENCIÓN (desglose)'!I95</f>
        <v>0</v>
      </c>
      <c r="I35" s="66">
        <f>+'ATENCIÓN (desglose)'!J95</f>
        <v>0</v>
      </c>
      <c r="J35" s="66">
        <f>+'ATENCIÓN (desglose)'!K95</f>
        <v>25000</v>
      </c>
      <c r="K35" s="66">
        <f>+'ATENCIÓN (desglose)'!L95</f>
        <v>25000</v>
      </c>
      <c r="L35" s="66">
        <f>+'ATENCIÓN (desglose)'!M95</f>
        <v>0</v>
      </c>
      <c r="M35" s="66">
        <f>+'ATENCIÓN (desglose)'!N95</f>
        <v>131714.66</v>
      </c>
      <c r="N35" s="66">
        <f>+'ATENCIÓN (desglose)'!O95</f>
        <v>65000</v>
      </c>
      <c r="O35" s="66">
        <f>+'ATENCIÓN (desglose)'!P95</f>
        <v>0</v>
      </c>
      <c r="P35" s="66">
        <f>+'ATENCIÓN (desglose)'!Q95</f>
        <v>45000</v>
      </c>
      <c r="Q35" s="66">
        <f>+'ATENCIÓN (desglose)'!R95</f>
        <v>45000</v>
      </c>
      <c r="R35" s="236">
        <f>SUM(G35:Q35)</f>
        <v>336714.66000000003</v>
      </c>
      <c r="S35" s="66">
        <f>+'ATENCIÓN (desglose)'!T95</f>
        <v>0</v>
      </c>
      <c r="T35" s="66">
        <f>+'ATENCIÓN (desglose)'!U95</f>
        <v>90000</v>
      </c>
      <c r="U35" s="66">
        <f>+'ATENCIÓN (desglose)'!V95</f>
        <v>0</v>
      </c>
      <c r="V35" s="66">
        <f>+'ATENCIÓN (desglose)'!W95</f>
        <v>90000</v>
      </c>
      <c r="W35" s="66">
        <f>+'ATENCIÓN (desglose)'!X95</f>
        <v>0</v>
      </c>
      <c r="X35" s="66">
        <f>+'ATENCIÓN (desglose)'!Y95</f>
        <v>101880.82</v>
      </c>
      <c r="Y35" s="66">
        <f>+'ATENCIÓN (desglose)'!Z95</f>
        <v>0</v>
      </c>
      <c r="Z35" s="66">
        <f>+'ATENCIÓN (desglose)'!AA95</f>
        <v>0</v>
      </c>
      <c r="AA35" s="66">
        <f>+'ATENCIÓN (desglose)'!AB95</f>
        <v>0</v>
      </c>
      <c r="AB35" s="66">
        <f>+'ATENCIÓN (desglose)'!AC95</f>
        <v>0</v>
      </c>
      <c r="AC35" s="66">
        <f>+'ATENCIÓN (desglose)'!AD95</f>
        <v>0</v>
      </c>
      <c r="AD35" s="236">
        <f>SUM(S35:AC35)</f>
        <v>281880.82</v>
      </c>
      <c r="AE35" s="321"/>
    </row>
    <row r="36" spans="1:31" ht="42.75" customHeight="1" x14ac:dyDescent="0.3">
      <c r="A36" s="1075" t="s">
        <v>99</v>
      </c>
      <c r="B36" s="266"/>
      <c r="C36" s="272"/>
      <c r="D36" s="267">
        <f>SUM(D37:D39)</f>
        <v>0</v>
      </c>
      <c r="E36" s="267">
        <f>SUM(E37:E39)</f>
        <v>2212960</v>
      </c>
      <c r="F36" s="267">
        <f>SUM(F37:F39)</f>
        <v>2212960</v>
      </c>
      <c r="G36" s="267">
        <f t="shared" ref="G36:AD36" si="9">+G37+G38+G39</f>
        <v>0</v>
      </c>
      <c r="H36" s="267">
        <f t="shared" si="9"/>
        <v>0</v>
      </c>
      <c r="I36" s="267">
        <f t="shared" si="9"/>
        <v>0</v>
      </c>
      <c r="J36" s="267">
        <f t="shared" si="9"/>
        <v>100000</v>
      </c>
      <c r="K36" s="267">
        <f t="shared" si="9"/>
        <v>86600</v>
      </c>
      <c r="L36" s="267">
        <f t="shared" si="9"/>
        <v>0</v>
      </c>
      <c r="M36" s="267">
        <f t="shared" si="9"/>
        <v>442720</v>
      </c>
      <c r="N36" s="267">
        <f t="shared" si="9"/>
        <v>879320</v>
      </c>
      <c r="O36" s="267">
        <f t="shared" si="9"/>
        <v>0</v>
      </c>
      <c r="P36" s="267">
        <f t="shared" si="9"/>
        <v>629320</v>
      </c>
      <c r="Q36" s="267">
        <f t="shared" si="9"/>
        <v>0</v>
      </c>
      <c r="R36" s="267">
        <f t="shared" si="9"/>
        <v>2137960</v>
      </c>
      <c r="S36" s="267">
        <f t="shared" si="9"/>
        <v>0</v>
      </c>
      <c r="T36" s="267">
        <f t="shared" si="9"/>
        <v>75000</v>
      </c>
      <c r="U36" s="267">
        <f t="shared" si="9"/>
        <v>0</v>
      </c>
      <c r="V36" s="267">
        <f t="shared" si="9"/>
        <v>0</v>
      </c>
      <c r="W36" s="267">
        <f t="shared" si="9"/>
        <v>0</v>
      </c>
      <c r="X36" s="267">
        <f t="shared" si="9"/>
        <v>0</v>
      </c>
      <c r="Y36" s="267">
        <f t="shared" si="9"/>
        <v>0</v>
      </c>
      <c r="Z36" s="267">
        <f t="shared" si="9"/>
        <v>0</v>
      </c>
      <c r="AA36" s="267">
        <f t="shared" si="9"/>
        <v>0</v>
      </c>
      <c r="AB36" s="267">
        <f t="shared" si="9"/>
        <v>0</v>
      </c>
      <c r="AC36" s="267">
        <f t="shared" si="9"/>
        <v>0</v>
      </c>
      <c r="AD36" s="267">
        <f t="shared" si="9"/>
        <v>75000</v>
      </c>
      <c r="AE36" s="266"/>
    </row>
    <row r="37" spans="1:31" s="315" customFormat="1" ht="45" customHeight="1" x14ac:dyDescent="0.3">
      <c r="A37" s="1076"/>
      <c r="B37" s="355" t="s">
        <v>2</v>
      </c>
      <c r="C37" s="273" t="s">
        <v>487</v>
      </c>
      <c r="D37" s="72"/>
      <c r="E37" s="72">
        <f>+R37+AD37</f>
        <v>954320</v>
      </c>
      <c r="F37" s="236">
        <f>+D37+E37</f>
        <v>954320</v>
      </c>
      <c r="G37" s="66">
        <f>+'ATENCIÓN (desglose)'!H101</f>
        <v>0</v>
      </c>
      <c r="H37" s="66">
        <f>+'ATENCIÓN (desglose)'!I101</f>
        <v>0</v>
      </c>
      <c r="I37" s="66">
        <f>+'ATENCIÓN (desglose)'!J101</f>
        <v>0</v>
      </c>
      <c r="J37" s="66">
        <f>+'ATENCIÓN (desglose)'!K101</f>
        <v>100000</v>
      </c>
      <c r="K37" s="66">
        <f>+'ATENCIÓN (desglose)'!L101</f>
        <v>86600</v>
      </c>
      <c r="L37" s="66">
        <f>+'ATENCIÓN (desglose)'!M101</f>
        <v>0</v>
      </c>
      <c r="M37" s="66">
        <f>+'ATENCIÓN (desglose)'!N101</f>
        <v>442720</v>
      </c>
      <c r="N37" s="66">
        <f>+'ATENCIÓN (desglose)'!O101</f>
        <v>250000</v>
      </c>
      <c r="O37" s="66">
        <f>+'ATENCIÓN (desglose)'!P101</f>
        <v>0</v>
      </c>
      <c r="P37" s="66">
        <f>+'ATENCIÓN (desglose)'!Q101</f>
        <v>0</v>
      </c>
      <c r="Q37" s="66">
        <f>+'ATENCIÓN (desglose)'!R101</f>
        <v>0</v>
      </c>
      <c r="R37" s="618">
        <f>SUM(G37:Q37)</f>
        <v>879320</v>
      </c>
      <c r="S37" s="66">
        <f>+'ATENCIÓN (desglose)'!T101</f>
        <v>0</v>
      </c>
      <c r="T37" s="66">
        <f>+'ATENCIÓN (desglose)'!U101</f>
        <v>75000</v>
      </c>
      <c r="U37" s="66">
        <f>+'ATENCIÓN (desglose)'!V101</f>
        <v>0</v>
      </c>
      <c r="V37" s="66">
        <f>+'ATENCIÓN (desglose)'!W101</f>
        <v>0</v>
      </c>
      <c r="W37" s="66">
        <f>+'ATENCIÓN (desglose)'!X101</f>
        <v>0</v>
      </c>
      <c r="X37" s="66">
        <f>+'ATENCIÓN (desglose)'!Y101</f>
        <v>0</v>
      </c>
      <c r="Y37" s="66">
        <f>+'ATENCIÓN (desglose)'!Z101</f>
        <v>0</v>
      </c>
      <c r="Z37" s="66">
        <f>+'ATENCIÓN (desglose)'!AA101</f>
        <v>0</v>
      </c>
      <c r="AA37" s="66">
        <f>+'ATENCIÓN (desglose)'!AB101</f>
        <v>0</v>
      </c>
      <c r="AB37" s="66">
        <f>+'ATENCIÓN (desglose)'!AC101</f>
        <v>0</v>
      </c>
      <c r="AC37" s="66">
        <f>+'ATENCIÓN (desglose)'!AD101</f>
        <v>0</v>
      </c>
      <c r="AD37" s="618">
        <f>SUM(S37:AC37)</f>
        <v>75000</v>
      </c>
      <c r="AE37" s="321"/>
    </row>
    <row r="38" spans="1:31" s="315" customFormat="1" ht="54" customHeight="1" x14ac:dyDescent="0.3">
      <c r="A38" s="1076"/>
      <c r="B38" s="353" t="s">
        <v>3</v>
      </c>
      <c r="C38" s="273" t="s">
        <v>488</v>
      </c>
      <c r="D38" s="72"/>
      <c r="E38" s="72">
        <f>+R38+AD38</f>
        <v>629320</v>
      </c>
      <c r="F38" s="236">
        <f>+D38+E38</f>
        <v>629320</v>
      </c>
      <c r="G38" s="66">
        <f>+'ATENCIÓN (desglose)'!H105</f>
        <v>0</v>
      </c>
      <c r="H38" s="66">
        <f>+'ATENCIÓN (desglose)'!I105</f>
        <v>0</v>
      </c>
      <c r="I38" s="66">
        <f>+'ATENCIÓN (desglose)'!J105</f>
        <v>0</v>
      </c>
      <c r="J38" s="66">
        <f>+'ATENCIÓN (desglose)'!K105</f>
        <v>0</v>
      </c>
      <c r="K38" s="66">
        <f>+'ATENCIÓN (desglose)'!L105</f>
        <v>0</v>
      </c>
      <c r="L38" s="66">
        <f>+'ATENCIÓN (desglose)'!M105</f>
        <v>0</v>
      </c>
      <c r="M38" s="66">
        <f>+'ATENCIÓN (desglose)'!N105</f>
        <v>0</v>
      </c>
      <c r="N38" s="66">
        <f>+'ATENCIÓN (desglose)'!O105</f>
        <v>629320</v>
      </c>
      <c r="O38" s="66">
        <f>+'ATENCIÓN (desglose)'!P105</f>
        <v>0</v>
      </c>
      <c r="P38" s="66">
        <f>+'ATENCIÓN (desglose)'!Q105</f>
        <v>0</v>
      </c>
      <c r="Q38" s="66">
        <f>+'ATENCIÓN (desglose)'!R105</f>
        <v>0</v>
      </c>
      <c r="R38" s="618">
        <f>SUM(G38:Q38)</f>
        <v>629320</v>
      </c>
      <c r="S38" s="66">
        <f>+'ATENCIÓN (desglose)'!T105</f>
        <v>0</v>
      </c>
      <c r="T38" s="66">
        <f>+'ATENCIÓN (desglose)'!U105</f>
        <v>0</v>
      </c>
      <c r="U38" s="66">
        <f>+'ATENCIÓN (desglose)'!V105</f>
        <v>0</v>
      </c>
      <c r="V38" s="66">
        <f>+'ATENCIÓN (desglose)'!W105</f>
        <v>0</v>
      </c>
      <c r="W38" s="66">
        <f>+'ATENCIÓN (desglose)'!X105</f>
        <v>0</v>
      </c>
      <c r="X38" s="66">
        <f>+'ATENCIÓN (desglose)'!Y105</f>
        <v>0</v>
      </c>
      <c r="Y38" s="66">
        <f>+'ATENCIÓN (desglose)'!Z105</f>
        <v>0</v>
      </c>
      <c r="Z38" s="66">
        <f>+'ATENCIÓN (desglose)'!AA105</f>
        <v>0</v>
      </c>
      <c r="AA38" s="66">
        <f>+'ATENCIÓN (desglose)'!AB105</f>
        <v>0</v>
      </c>
      <c r="AB38" s="66">
        <f>+'ATENCIÓN (desglose)'!AC105</f>
        <v>0</v>
      </c>
      <c r="AC38" s="66">
        <f>+'ATENCIÓN (desglose)'!AD105</f>
        <v>0</v>
      </c>
      <c r="AD38" s="618">
        <f>SUM(S38:AC38)</f>
        <v>0</v>
      </c>
      <c r="AE38" s="321"/>
    </row>
    <row r="39" spans="1:31" s="315" customFormat="1" ht="46.5" customHeight="1" x14ac:dyDescent="0.3">
      <c r="A39" s="1077"/>
      <c r="B39" s="353" t="s">
        <v>4</v>
      </c>
      <c r="C39" s="273" t="s">
        <v>489</v>
      </c>
      <c r="D39" s="72"/>
      <c r="E39" s="72">
        <f>+R39+AD39</f>
        <v>629320</v>
      </c>
      <c r="F39" s="236">
        <f>+D39+E39</f>
        <v>629320</v>
      </c>
      <c r="G39" s="66">
        <f>+'ATENCIÓN (desglose)'!H108</f>
        <v>0</v>
      </c>
      <c r="H39" s="66">
        <f>+'ATENCIÓN (desglose)'!I108</f>
        <v>0</v>
      </c>
      <c r="I39" s="66">
        <f>+'ATENCIÓN (desglose)'!J108</f>
        <v>0</v>
      </c>
      <c r="J39" s="66">
        <f>+'ATENCIÓN (desglose)'!K108</f>
        <v>0</v>
      </c>
      <c r="K39" s="66">
        <f>+'ATENCIÓN (desglose)'!L108</f>
        <v>0</v>
      </c>
      <c r="L39" s="66">
        <f>+'ATENCIÓN (desglose)'!M108</f>
        <v>0</v>
      </c>
      <c r="M39" s="66">
        <f>+'ATENCIÓN (desglose)'!N108</f>
        <v>0</v>
      </c>
      <c r="N39" s="66">
        <f>+'ATENCIÓN (desglose)'!O108</f>
        <v>0</v>
      </c>
      <c r="O39" s="66">
        <f>+'ATENCIÓN (desglose)'!P108</f>
        <v>0</v>
      </c>
      <c r="P39" s="66">
        <f>+'ATENCIÓN (desglose)'!Q108</f>
        <v>629320</v>
      </c>
      <c r="Q39" s="66">
        <f>+'ATENCIÓN (desglose)'!R108</f>
        <v>0</v>
      </c>
      <c r="R39" s="618">
        <f>SUM(G39:Q39)</f>
        <v>629320</v>
      </c>
      <c r="S39" s="66">
        <f>+'ATENCIÓN (desglose)'!T108</f>
        <v>0</v>
      </c>
      <c r="T39" s="66">
        <f>+'ATENCIÓN (desglose)'!U108</f>
        <v>0</v>
      </c>
      <c r="U39" s="66">
        <f>+'ATENCIÓN (desglose)'!V108</f>
        <v>0</v>
      </c>
      <c r="V39" s="66">
        <f>+'ATENCIÓN (desglose)'!W108</f>
        <v>0</v>
      </c>
      <c r="W39" s="66">
        <f>+'ATENCIÓN (desglose)'!X108</f>
        <v>0</v>
      </c>
      <c r="X39" s="66">
        <f>+'ATENCIÓN (desglose)'!Y108</f>
        <v>0</v>
      </c>
      <c r="Y39" s="66">
        <f>+'ATENCIÓN (desglose)'!Z108</f>
        <v>0</v>
      </c>
      <c r="Z39" s="66">
        <f>+'ATENCIÓN (desglose)'!AA108</f>
        <v>0</v>
      </c>
      <c r="AA39" s="66">
        <f>+'ATENCIÓN (desglose)'!AB108</f>
        <v>0</v>
      </c>
      <c r="AB39" s="66">
        <f>+'ATENCIÓN (desglose)'!AC108</f>
        <v>0</v>
      </c>
      <c r="AC39" s="66">
        <f>+'ATENCIÓN (desglose)'!AD108</f>
        <v>0</v>
      </c>
      <c r="AD39" s="618">
        <f>SUM(S39:AC39)</f>
        <v>0</v>
      </c>
      <c r="AE39" s="321"/>
    </row>
    <row r="40" spans="1:31" s="67" customFormat="1" ht="38.25" customHeight="1" x14ac:dyDescent="0.3">
      <c r="A40" s="282" t="s">
        <v>250</v>
      </c>
      <c r="B40" s="361"/>
      <c r="C40" s="284"/>
      <c r="D40" s="283"/>
      <c r="E40" s="283"/>
      <c r="F40" s="285"/>
      <c r="G40" s="222"/>
      <c r="H40" s="222"/>
      <c r="I40" s="222"/>
      <c r="J40" s="222"/>
      <c r="K40" s="222"/>
      <c r="L40" s="222"/>
      <c r="M40" s="222"/>
      <c r="N40" s="222"/>
      <c r="O40" s="222"/>
      <c r="P40" s="222"/>
      <c r="Q40" s="222"/>
      <c r="R40" s="222"/>
      <c r="S40" s="222"/>
      <c r="T40" s="222"/>
      <c r="U40" s="222"/>
      <c r="V40" s="222"/>
      <c r="W40" s="222"/>
      <c r="X40" s="222"/>
      <c r="Y40" s="222"/>
      <c r="Z40" s="222"/>
      <c r="AA40" s="222"/>
      <c r="AB40" s="222"/>
      <c r="AC40" s="222"/>
      <c r="AD40" s="222"/>
      <c r="AE40" s="223"/>
    </row>
    <row r="41" spans="1:31" ht="42.75" customHeight="1" x14ac:dyDescent="0.3">
      <c r="A41" s="1075" t="s">
        <v>100</v>
      </c>
      <c r="B41" s="266"/>
      <c r="C41" s="272"/>
      <c r="D41" s="267">
        <f>SUM(D42:D44)</f>
        <v>165000</v>
      </c>
      <c r="E41" s="267">
        <f>SUM(E42:E44)</f>
        <v>1340530</v>
      </c>
      <c r="F41" s="267">
        <f>SUM(F42:F44)</f>
        <v>1505530</v>
      </c>
      <c r="G41" s="267">
        <f t="shared" ref="G41:AD41" si="10">+G42+G43+G44</f>
        <v>0</v>
      </c>
      <c r="H41" s="267">
        <f t="shared" si="10"/>
        <v>0</v>
      </c>
      <c r="I41" s="267">
        <f t="shared" si="10"/>
        <v>0</v>
      </c>
      <c r="J41" s="267">
        <f t="shared" si="10"/>
        <v>0</v>
      </c>
      <c r="K41" s="267">
        <f t="shared" si="10"/>
        <v>0</v>
      </c>
      <c r="L41" s="267">
        <f t="shared" si="10"/>
        <v>0</v>
      </c>
      <c r="M41" s="267">
        <f t="shared" si="10"/>
        <v>0</v>
      </c>
      <c r="N41" s="267">
        <f t="shared" si="10"/>
        <v>0</v>
      </c>
      <c r="O41" s="267">
        <f t="shared" si="10"/>
        <v>0</v>
      </c>
      <c r="P41" s="267">
        <f t="shared" si="10"/>
        <v>566530</v>
      </c>
      <c r="Q41" s="267">
        <f t="shared" si="10"/>
        <v>0</v>
      </c>
      <c r="R41" s="267">
        <f t="shared" si="10"/>
        <v>566530</v>
      </c>
      <c r="S41" s="267">
        <f t="shared" si="10"/>
        <v>0</v>
      </c>
      <c r="T41" s="267">
        <f t="shared" si="10"/>
        <v>200000</v>
      </c>
      <c r="U41" s="267">
        <f t="shared" si="10"/>
        <v>0</v>
      </c>
      <c r="V41" s="267">
        <f t="shared" si="10"/>
        <v>739000</v>
      </c>
      <c r="W41" s="267">
        <f t="shared" si="10"/>
        <v>0</v>
      </c>
      <c r="X41" s="267">
        <f t="shared" si="10"/>
        <v>0</v>
      </c>
      <c r="Y41" s="267">
        <f t="shared" si="10"/>
        <v>0</v>
      </c>
      <c r="Z41" s="267">
        <f t="shared" si="10"/>
        <v>0</v>
      </c>
      <c r="AA41" s="267">
        <f t="shared" si="10"/>
        <v>0</v>
      </c>
      <c r="AB41" s="267">
        <f t="shared" si="10"/>
        <v>0</v>
      </c>
      <c r="AC41" s="267">
        <f t="shared" si="10"/>
        <v>0</v>
      </c>
      <c r="AD41" s="267">
        <f t="shared" si="10"/>
        <v>939000</v>
      </c>
      <c r="AE41" s="266"/>
    </row>
    <row r="42" spans="1:31" s="315" customFormat="1" ht="72" x14ac:dyDescent="0.3">
      <c r="A42" s="1076"/>
      <c r="B42" s="352" t="s">
        <v>2</v>
      </c>
      <c r="C42" s="245" t="s">
        <v>264</v>
      </c>
      <c r="D42" s="72"/>
      <c r="E42" s="72">
        <f>+R42+AD42</f>
        <v>1223750</v>
      </c>
      <c r="F42" s="236">
        <f>+D42+E42</f>
        <v>1223750</v>
      </c>
      <c r="G42" s="66">
        <f>+'ATENCIÓN (desglose)'!H113</f>
        <v>0</v>
      </c>
      <c r="H42" s="66">
        <f>+'ATENCIÓN (desglose)'!I113</f>
        <v>0</v>
      </c>
      <c r="I42" s="66">
        <f>+'ATENCIÓN (desglose)'!J113</f>
        <v>0</v>
      </c>
      <c r="J42" s="66">
        <f>+'ATENCIÓN (desglose)'!K113</f>
        <v>0</v>
      </c>
      <c r="K42" s="66">
        <f>+'ATENCIÓN (desglose)'!L113</f>
        <v>0</v>
      </c>
      <c r="L42" s="66">
        <f>+'ATENCIÓN (desglose)'!M113</f>
        <v>0</v>
      </c>
      <c r="M42" s="66">
        <f>+'ATENCIÓN (desglose)'!N113</f>
        <v>0</v>
      </c>
      <c r="N42" s="66">
        <f>+'ATENCIÓN (desglose)'!O113</f>
        <v>0</v>
      </c>
      <c r="O42" s="66">
        <f>+'ATENCIÓN (desglose)'!P113</f>
        <v>0</v>
      </c>
      <c r="P42" s="66">
        <f>+'ATENCIÓN (desglose)'!Q113</f>
        <v>284750</v>
      </c>
      <c r="Q42" s="66">
        <f>+'ATENCIÓN (desglose)'!R113</f>
        <v>0</v>
      </c>
      <c r="R42" s="618">
        <f>SUM(G42:Q42)</f>
        <v>284750</v>
      </c>
      <c r="S42" s="66">
        <f>+'ATENCIÓN (desglose)'!T113</f>
        <v>0</v>
      </c>
      <c r="T42" s="66">
        <f>+'ATENCIÓN (desglose)'!U113</f>
        <v>200000</v>
      </c>
      <c r="U42" s="66">
        <f>+'ATENCIÓN (desglose)'!V113</f>
        <v>0</v>
      </c>
      <c r="V42" s="66">
        <f>+'ATENCIÓN (desglose)'!W113</f>
        <v>739000</v>
      </c>
      <c r="W42" s="66">
        <f>+'ATENCIÓN (desglose)'!X113</f>
        <v>0</v>
      </c>
      <c r="X42" s="66">
        <f>+'ATENCIÓN (desglose)'!Y113</f>
        <v>0</v>
      </c>
      <c r="Y42" s="66">
        <f>+'ATENCIÓN (desglose)'!Z113</f>
        <v>0</v>
      </c>
      <c r="Z42" s="66">
        <f>+'ATENCIÓN (desglose)'!AA113</f>
        <v>0</v>
      </c>
      <c r="AA42" s="66">
        <f>+'ATENCIÓN (desglose)'!AB113</f>
        <v>0</v>
      </c>
      <c r="AB42" s="66">
        <f>+'ATENCIÓN (desglose)'!AC113</f>
        <v>0</v>
      </c>
      <c r="AC42" s="66">
        <f>+'ATENCIÓN (desglose)'!AD113</f>
        <v>0</v>
      </c>
      <c r="AD42" s="618">
        <f>SUM(S42:AC42)</f>
        <v>939000</v>
      </c>
      <c r="AE42" s="321"/>
    </row>
    <row r="43" spans="1:31" s="315" customFormat="1" ht="72" x14ac:dyDescent="0.3">
      <c r="A43" s="1076"/>
      <c r="B43" s="354" t="s">
        <v>3</v>
      </c>
      <c r="C43" s="232" t="s">
        <v>263</v>
      </c>
      <c r="D43" s="72">
        <f>+R43+AD43</f>
        <v>165000</v>
      </c>
      <c r="E43" s="72"/>
      <c r="F43" s="236">
        <f>+D43+E43</f>
        <v>165000</v>
      </c>
      <c r="G43" s="66">
        <f>+'ATENCIÓN (desglose)'!H116</f>
        <v>0</v>
      </c>
      <c r="H43" s="66">
        <f>+'ATENCIÓN (desglose)'!I116</f>
        <v>0</v>
      </c>
      <c r="I43" s="66">
        <f>+'ATENCIÓN (desglose)'!J116</f>
        <v>0</v>
      </c>
      <c r="J43" s="66">
        <f>+'ATENCIÓN (desglose)'!K116</f>
        <v>0</v>
      </c>
      <c r="K43" s="66">
        <f>+'ATENCIÓN (desglose)'!L116</f>
        <v>0</v>
      </c>
      <c r="L43" s="66">
        <f>+'ATENCIÓN (desglose)'!M116</f>
        <v>0</v>
      </c>
      <c r="M43" s="66">
        <f>+'ATENCIÓN (desglose)'!N116</f>
        <v>0</v>
      </c>
      <c r="N43" s="66">
        <f>+'ATENCIÓN (desglose)'!O116</f>
        <v>0</v>
      </c>
      <c r="O43" s="66">
        <f>+'ATENCIÓN (desglose)'!P116</f>
        <v>0</v>
      </c>
      <c r="P43" s="66">
        <f>+'ATENCIÓN (desglose)'!Q116</f>
        <v>165000</v>
      </c>
      <c r="Q43" s="66">
        <f>+'ATENCIÓN (desglose)'!R116</f>
        <v>0</v>
      </c>
      <c r="R43" s="236">
        <f>SUM(G43:Q43)</f>
        <v>165000</v>
      </c>
      <c r="S43" s="66">
        <f>+'ATENCIÓN (desglose)'!T116</f>
        <v>0</v>
      </c>
      <c r="T43" s="66">
        <f>+'ATENCIÓN (desglose)'!U116</f>
        <v>0</v>
      </c>
      <c r="U43" s="66">
        <f>+'ATENCIÓN (desglose)'!V116</f>
        <v>0</v>
      </c>
      <c r="V43" s="66">
        <f>+'ATENCIÓN (desglose)'!W116</f>
        <v>0</v>
      </c>
      <c r="W43" s="66">
        <f>+'ATENCIÓN (desglose)'!X116</f>
        <v>0</v>
      </c>
      <c r="X43" s="66">
        <f>+'ATENCIÓN (desglose)'!Y116</f>
        <v>0</v>
      </c>
      <c r="Y43" s="66">
        <f>+'ATENCIÓN (desglose)'!Z116</f>
        <v>0</v>
      </c>
      <c r="Z43" s="66">
        <f>+'ATENCIÓN (desglose)'!AA116</f>
        <v>0</v>
      </c>
      <c r="AA43" s="66">
        <f>+'ATENCIÓN (desglose)'!AB116</f>
        <v>0</v>
      </c>
      <c r="AB43" s="66">
        <f>+'ATENCIÓN (desglose)'!AC116</f>
        <v>0</v>
      </c>
      <c r="AC43" s="66">
        <f>+'ATENCIÓN (desglose)'!AD116</f>
        <v>0</v>
      </c>
      <c r="AD43" s="236">
        <f>SUM(S43:AC43)</f>
        <v>0</v>
      </c>
      <c r="AE43" s="321"/>
    </row>
    <row r="44" spans="1:31" s="315" customFormat="1" ht="72" x14ac:dyDescent="0.3">
      <c r="A44" s="1077"/>
      <c r="B44" s="362" t="s">
        <v>4</v>
      </c>
      <c r="C44" s="273" t="s">
        <v>265</v>
      </c>
      <c r="D44" s="72"/>
      <c r="E44" s="72">
        <f>+R44+AD44</f>
        <v>116780</v>
      </c>
      <c r="F44" s="236">
        <f>+D44+E44</f>
        <v>116780</v>
      </c>
      <c r="G44" s="66">
        <f>+'ATENCIÓN (desglose)'!H120</f>
        <v>0</v>
      </c>
      <c r="H44" s="66">
        <f>+'ATENCIÓN (desglose)'!I120</f>
        <v>0</v>
      </c>
      <c r="I44" s="66">
        <f>+'ATENCIÓN (desglose)'!J120</f>
        <v>0</v>
      </c>
      <c r="J44" s="66">
        <f>+'ATENCIÓN (desglose)'!K120</f>
        <v>0</v>
      </c>
      <c r="K44" s="66">
        <f>+'ATENCIÓN (desglose)'!L120</f>
        <v>0</v>
      </c>
      <c r="L44" s="66">
        <f>+'ATENCIÓN (desglose)'!M120</f>
        <v>0</v>
      </c>
      <c r="M44" s="66">
        <f>+'ATENCIÓN (desglose)'!N120</f>
        <v>0</v>
      </c>
      <c r="N44" s="66">
        <f>+'ATENCIÓN (desglose)'!O120</f>
        <v>0</v>
      </c>
      <c r="O44" s="66">
        <f>+'ATENCIÓN (desglose)'!P120</f>
        <v>0</v>
      </c>
      <c r="P44" s="66">
        <f>+'ATENCIÓN (desglose)'!Q120</f>
        <v>116780</v>
      </c>
      <c r="Q44" s="66">
        <f>+'ATENCIÓN (desglose)'!R120</f>
        <v>0</v>
      </c>
      <c r="R44" s="618">
        <f>SUM(G44:Q44)</f>
        <v>116780</v>
      </c>
      <c r="S44" s="66">
        <f>+'ATENCIÓN (desglose)'!T120</f>
        <v>0</v>
      </c>
      <c r="T44" s="66">
        <f>+'ATENCIÓN (desglose)'!U120</f>
        <v>0</v>
      </c>
      <c r="U44" s="66">
        <f>+'ATENCIÓN (desglose)'!V120</f>
        <v>0</v>
      </c>
      <c r="V44" s="66">
        <f>+'ATENCIÓN (desglose)'!W120</f>
        <v>0</v>
      </c>
      <c r="W44" s="66">
        <f>+'ATENCIÓN (desglose)'!X120</f>
        <v>0</v>
      </c>
      <c r="X44" s="66">
        <f>+'ATENCIÓN (desglose)'!Y120</f>
        <v>0</v>
      </c>
      <c r="Y44" s="66">
        <f>+'ATENCIÓN (desglose)'!Z120</f>
        <v>0</v>
      </c>
      <c r="Z44" s="66">
        <f>+'ATENCIÓN (desglose)'!AA120</f>
        <v>0</v>
      </c>
      <c r="AA44" s="66">
        <f>+'ATENCIÓN (desglose)'!AB120</f>
        <v>0</v>
      </c>
      <c r="AB44" s="66">
        <f>+'ATENCIÓN (desglose)'!AC120</f>
        <v>0</v>
      </c>
      <c r="AC44" s="66">
        <f>+'ATENCIÓN (desglose)'!AD120</f>
        <v>0</v>
      </c>
      <c r="AD44" s="618">
        <f>SUM(S44:AC44)</f>
        <v>0</v>
      </c>
      <c r="AE44" s="321"/>
    </row>
  </sheetData>
  <mergeCells count="15">
    <mergeCell ref="AD5:AD6"/>
    <mergeCell ref="AE5:AE6"/>
    <mergeCell ref="E5:E6"/>
    <mergeCell ref="F5:F6"/>
    <mergeCell ref="G5:Q5"/>
    <mergeCell ref="R5:R6"/>
    <mergeCell ref="S5:AC5"/>
    <mergeCell ref="A29:A30"/>
    <mergeCell ref="A36:A39"/>
    <mergeCell ref="A41:A44"/>
    <mergeCell ref="D5:D6"/>
    <mergeCell ref="A10:A19"/>
    <mergeCell ref="A21:A26"/>
    <mergeCell ref="A7:C7"/>
    <mergeCell ref="A31:A35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</sheetPr>
  <dimension ref="A1:AH124"/>
  <sheetViews>
    <sheetView zoomScale="60" zoomScaleNormal="60" workbookViewId="0">
      <pane xSplit="7" ySplit="6" topLeftCell="O7" activePane="bottomRight" state="frozen"/>
      <selection pane="topRight" activeCell="H1" sqref="H1"/>
      <selection pane="bottomLeft" activeCell="A7" sqref="A7"/>
      <selection pane="bottomRight" activeCell="G84" sqref="G84"/>
    </sheetView>
  </sheetViews>
  <sheetFormatPr baseColWidth="10" defaultRowHeight="14.4" x14ac:dyDescent="0.3"/>
  <cols>
    <col min="1" max="1" width="17.6640625" customWidth="1"/>
    <col min="2" max="2" width="6" customWidth="1"/>
    <col min="3" max="3" width="34.109375" style="275" customWidth="1"/>
    <col min="4" max="4" width="36.44140625" style="275" customWidth="1"/>
    <col min="5" max="5" width="26.33203125" customWidth="1"/>
    <col min="6" max="6" width="25.44140625" customWidth="1"/>
    <col min="7" max="7" width="26.6640625" bestFit="1" customWidth="1"/>
    <col min="8" max="8" width="21.88671875" customWidth="1"/>
    <col min="9" max="9" width="25.44140625" customWidth="1"/>
    <col min="10" max="10" width="21.5546875" bestFit="1" customWidth="1"/>
    <col min="11" max="11" width="23.33203125" bestFit="1" customWidth="1"/>
    <col min="12" max="13" width="23.6640625" bestFit="1" customWidth="1"/>
    <col min="14" max="14" width="24.109375" bestFit="1" customWidth="1"/>
    <col min="15" max="15" width="23.6640625" bestFit="1" customWidth="1"/>
    <col min="16" max="16" width="22.33203125" bestFit="1" customWidth="1"/>
    <col min="17" max="17" width="23.33203125" bestFit="1" customWidth="1"/>
    <col min="18" max="18" width="21.109375" bestFit="1" customWidth="1"/>
    <col min="19" max="19" width="25.44140625" bestFit="1" customWidth="1"/>
    <col min="20" max="20" width="21.109375" bestFit="1" customWidth="1"/>
    <col min="21" max="21" width="21.5546875" bestFit="1" customWidth="1"/>
    <col min="22" max="23" width="23.6640625" bestFit="1" customWidth="1"/>
    <col min="24" max="24" width="23.33203125" bestFit="1" customWidth="1"/>
    <col min="25" max="25" width="21.5546875" bestFit="1" customWidth="1"/>
    <col min="26" max="26" width="21.109375" bestFit="1" customWidth="1"/>
    <col min="27" max="29" width="21.5546875" bestFit="1" customWidth="1"/>
    <col min="30" max="30" width="21.109375" bestFit="1" customWidth="1"/>
    <col min="31" max="31" width="24.109375" bestFit="1" customWidth="1"/>
    <col min="32" max="32" width="17.5546875" customWidth="1"/>
  </cols>
  <sheetData>
    <row r="1" spans="1:34" s="4" customFormat="1" ht="21.75" customHeight="1" x14ac:dyDescent="0.3">
      <c r="A1" s="48" t="s">
        <v>46</v>
      </c>
      <c r="B1" s="34"/>
      <c r="C1" s="270"/>
      <c r="D1" s="270"/>
      <c r="E1" s="33"/>
      <c r="F1" s="32"/>
      <c r="G1" s="32"/>
      <c r="H1" s="11"/>
      <c r="I1" s="12"/>
      <c r="J1" s="13"/>
      <c r="K1" s="9"/>
      <c r="L1" s="9"/>
      <c r="M1" s="9"/>
      <c r="N1" s="9"/>
      <c r="O1" s="9"/>
      <c r="P1" s="9"/>
      <c r="Q1" s="9"/>
      <c r="R1" s="9"/>
      <c r="S1" s="55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55"/>
      <c r="AF1" s="9"/>
      <c r="AG1" s="9"/>
      <c r="AH1" s="10"/>
    </row>
    <row r="2" spans="1:34" s="4" customFormat="1" ht="15.75" customHeight="1" x14ac:dyDescent="0.25">
      <c r="A2" s="48" t="s">
        <v>47</v>
      </c>
      <c r="B2" s="34"/>
      <c r="C2" s="270"/>
      <c r="D2" s="270"/>
      <c r="E2" s="33"/>
      <c r="F2" s="32"/>
      <c r="H2" s="14"/>
      <c r="I2" s="15"/>
      <c r="J2" s="598"/>
      <c r="K2" s="9"/>
      <c r="L2" s="9"/>
      <c r="M2" s="661"/>
      <c r="N2" s="9"/>
      <c r="O2" s="9"/>
      <c r="P2" s="9"/>
      <c r="Q2" s="9"/>
      <c r="R2" s="9"/>
      <c r="S2" s="55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55"/>
      <c r="AF2" s="17"/>
      <c r="AG2" s="9"/>
      <c r="AH2" s="10"/>
    </row>
    <row r="3" spans="1:34" s="4" customFormat="1" ht="20.25" customHeight="1" x14ac:dyDescent="0.25">
      <c r="A3" s="48"/>
      <c r="B3" s="34"/>
      <c r="C3" s="270"/>
      <c r="D3" s="270"/>
      <c r="E3" s="33"/>
      <c r="F3" s="32"/>
      <c r="G3" s="289">
        <v>22846445</v>
      </c>
      <c r="H3" s="710">
        <v>1284067.6499999999</v>
      </c>
      <c r="I3" s="709">
        <f>+G3+H3</f>
        <v>24130512.649999999</v>
      </c>
      <c r="J3" s="565"/>
      <c r="L3" s="17"/>
      <c r="M3" s="9"/>
      <c r="N3" s="17"/>
      <c r="O3" s="9"/>
      <c r="P3" s="9"/>
      <c r="Q3" s="9"/>
      <c r="R3" s="9"/>
      <c r="S3" s="55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55"/>
      <c r="AF3" s="17"/>
      <c r="AG3" s="9"/>
      <c r="AH3" s="10"/>
    </row>
    <row r="4" spans="1:34" s="4" customFormat="1" ht="6" customHeight="1" x14ac:dyDescent="0.25">
      <c r="A4" s="48"/>
      <c r="B4" s="34"/>
      <c r="C4" s="270"/>
      <c r="D4" s="270"/>
      <c r="E4" s="33"/>
      <c r="F4" s="32"/>
      <c r="G4" s="32"/>
      <c r="H4" s="14"/>
      <c r="I4" s="15"/>
      <c r="J4" s="16"/>
      <c r="K4" s="9"/>
      <c r="L4" s="9"/>
      <c r="M4" s="9"/>
      <c r="N4" s="9"/>
      <c r="O4" s="9"/>
      <c r="P4" s="9"/>
      <c r="Q4" s="9"/>
      <c r="R4" s="9"/>
      <c r="S4" s="55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55"/>
      <c r="AF4" s="9"/>
      <c r="AG4" s="9"/>
      <c r="AH4" s="10"/>
    </row>
    <row r="5" spans="1:34" ht="21" x14ac:dyDescent="0.3">
      <c r="A5" s="49" t="s">
        <v>48</v>
      </c>
      <c r="B5" s="37"/>
      <c r="C5" s="271"/>
      <c r="D5" s="271"/>
      <c r="E5" s="1106" t="s">
        <v>43</v>
      </c>
      <c r="F5" s="1106" t="s">
        <v>44</v>
      </c>
      <c r="G5" s="1188" t="s">
        <v>85</v>
      </c>
      <c r="H5" s="1224">
        <v>2021</v>
      </c>
      <c r="I5" s="1225"/>
      <c r="J5" s="1225"/>
      <c r="K5" s="1225"/>
      <c r="L5" s="1225"/>
      <c r="M5" s="1225"/>
      <c r="N5" s="1225"/>
      <c r="O5" s="1225"/>
      <c r="P5" s="1225"/>
      <c r="Q5" s="1225"/>
      <c r="R5" s="1226"/>
      <c r="S5" s="1231" t="s">
        <v>41</v>
      </c>
      <c r="T5" s="1173">
        <v>2022</v>
      </c>
      <c r="U5" s="1111"/>
      <c r="V5" s="1111"/>
      <c r="W5" s="1111"/>
      <c r="X5" s="1111"/>
      <c r="Y5" s="1111"/>
      <c r="Z5" s="1111"/>
      <c r="AA5" s="1111"/>
      <c r="AB5" s="1111"/>
      <c r="AC5" s="1111"/>
      <c r="AD5" s="1111"/>
      <c r="AE5" s="1101" t="s">
        <v>42</v>
      </c>
      <c r="AF5" s="1160" t="s">
        <v>45</v>
      </c>
    </row>
    <row r="6" spans="1:34" ht="39.75" customHeight="1" x14ac:dyDescent="0.3">
      <c r="A6" s="85" t="s">
        <v>49</v>
      </c>
      <c r="B6" s="86" t="s">
        <v>50</v>
      </c>
      <c r="C6" s="269" t="s">
        <v>51</v>
      </c>
      <c r="D6" s="269" t="s">
        <v>115</v>
      </c>
      <c r="E6" s="1106"/>
      <c r="F6" s="1106"/>
      <c r="G6" s="1221"/>
      <c r="H6" s="18">
        <v>44228</v>
      </c>
      <c r="I6" s="18">
        <v>44256</v>
      </c>
      <c r="J6" s="18">
        <v>44287</v>
      </c>
      <c r="K6" s="18">
        <v>44317</v>
      </c>
      <c r="L6" s="18">
        <v>44348</v>
      </c>
      <c r="M6" s="18">
        <v>44378</v>
      </c>
      <c r="N6" s="18">
        <v>44409</v>
      </c>
      <c r="O6" s="18">
        <v>44440</v>
      </c>
      <c r="P6" s="18">
        <v>44470</v>
      </c>
      <c r="Q6" s="18">
        <v>44501</v>
      </c>
      <c r="R6" s="18">
        <v>44531</v>
      </c>
      <c r="S6" s="1231"/>
      <c r="T6" s="18">
        <v>44562</v>
      </c>
      <c r="U6" s="18">
        <v>44593</v>
      </c>
      <c r="V6" s="18">
        <v>44621</v>
      </c>
      <c r="W6" s="18">
        <v>44652</v>
      </c>
      <c r="X6" s="18">
        <v>44682</v>
      </c>
      <c r="Y6" s="18">
        <v>44713</v>
      </c>
      <c r="Z6" s="18">
        <v>44743</v>
      </c>
      <c r="AA6" s="18">
        <v>44774</v>
      </c>
      <c r="AB6" s="18">
        <v>44805</v>
      </c>
      <c r="AC6" s="18">
        <v>44835</v>
      </c>
      <c r="AD6" s="18">
        <v>44866</v>
      </c>
      <c r="AE6" s="1101"/>
      <c r="AF6" s="1160"/>
    </row>
    <row r="7" spans="1:34" s="89" customFormat="1" ht="32.25" customHeight="1" x14ac:dyDescent="0.3">
      <c r="A7" s="1078" t="s">
        <v>98</v>
      </c>
      <c r="B7" s="1079"/>
      <c r="C7" s="1079"/>
      <c r="D7" s="1079"/>
      <c r="E7" s="208">
        <f t="shared" ref="E7:AE7" si="0">+E10+E55+E80+E84+E100+E112</f>
        <v>7649284.0800000001</v>
      </c>
      <c r="F7" s="208">
        <f t="shared" si="0"/>
        <v>15453974.449999999</v>
      </c>
      <c r="G7" s="208">
        <f t="shared" si="0"/>
        <v>23103258.530000001</v>
      </c>
      <c r="H7" s="208">
        <f t="shared" si="0"/>
        <v>323585</v>
      </c>
      <c r="I7" s="208">
        <f t="shared" si="0"/>
        <v>913336</v>
      </c>
      <c r="J7" s="208">
        <f t="shared" si="0"/>
        <v>49115</v>
      </c>
      <c r="K7" s="208">
        <f t="shared" si="0"/>
        <v>580362.57000000007</v>
      </c>
      <c r="L7" s="208">
        <f t="shared" si="0"/>
        <v>394600</v>
      </c>
      <c r="M7" s="208">
        <f t="shared" si="0"/>
        <v>260500</v>
      </c>
      <c r="N7" s="208">
        <f t="shared" si="0"/>
        <v>1090283.75</v>
      </c>
      <c r="O7" s="208">
        <f t="shared" si="0"/>
        <v>1998960.92</v>
      </c>
      <c r="P7" s="208">
        <f t="shared" si="0"/>
        <v>1246000</v>
      </c>
      <c r="Q7" s="208">
        <f t="shared" si="0"/>
        <v>3554213.9</v>
      </c>
      <c r="R7" s="208">
        <f t="shared" si="0"/>
        <v>2082331.6400000001</v>
      </c>
      <c r="S7" s="208">
        <f t="shared" si="0"/>
        <v>12493288.780000001</v>
      </c>
      <c r="T7" s="208">
        <f t="shared" si="0"/>
        <v>236000</v>
      </c>
      <c r="U7" s="208">
        <f t="shared" si="0"/>
        <v>1847193.97</v>
      </c>
      <c r="V7" s="208">
        <f t="shared" si="0"/>
        <v>1962600</v>
      </c>
      <c r="W7" s="208">
        <f t="shared" si="0"/>
        <v>2034458</v>
      </c>
      <c r="X7" s="208">
        <f t="shared" si="0"/>
        <v>879150</v>
      </c>
      <c r="Y7" s="208">
        <f t="shared" si="0"/>
        <v>1742662.5</v>
      </c>
      <c r="Z7" s="208">
        <f t="shared" si="0"/>
        <v>501786.1</v>
      </c>
      <c r="AA7" s="208">
        <f t="shared" si="0"/>
        <v>508000</v>
      </c>
      <c r="AB7" s="208">
        <f t="shared" si="0"/>
        <v>384119.18</v>
      </c>
      <c r="AC7" s="208">
        <f t="shared" si="0"/>
        <v>332000</v>
      </c>
      <c r="AD7" s="208">
        <f t="shared" si="0"/>
        <v>182000</v>
      </c>
      <c r="AE7" s="208">
        <f t="shared" si="0"/>
        <v>10609969.75</v>
      </c>
      <c r="AF7" s="88"/>
    </row>
    <row r="8" spans="1:34" s="67" customFormat="1" ht="34.5" customHeight="1" x14ac:dyDescent="0.3">
      <c r="A8" s="1066" t="s">
        <v>253</v>
      </c>
      <c r="B8" s="1067"/>
      <c r="C8" s="1067"/>
      <c r="D8" s="1067"/>
      <c r="E8" s="1067"/>
      <c r="F8" s="1067"/>
      <c r="G8" s="1068"/>
      <c r="H8" s="280"/>
      <c r="I8" s="280"/>
      <c r="J8" s="280"/>
      <c r="K8" s="280"/>
      <c r="L8" s="280"/>
      <c r="M8" s="280"/>
      <c r="N8" s="280"/>
      <c r="O8" s="280"/>
      <c r="P8" s="280"/>
      <c r="Q8" s="280"/>
      <c r="R8" s="280"/>
      <c r="S8" s="57"/>
      <c r="T8" s="280"/>
      <c r="U8" s="280"/>
      <c r="V8" s="280"/>
      <c r="W8" s="280"/>
      <c r="X8" s="280"/>
      <c r="Y8" s="280"/>
      <c r="Z8" s="280"/>
      <c r="AA8" s="280"/>
      <c r="AB8" s="280"/>
      <c r="AC8" s="280"/>
      <c r="AD8" s="280"/>
      <c r="AE8" s="57"/>
      <c r="AF8" s="281"/>
    </row>
    <row r="9" spans="1:34" s="67" customFormat="1" ht="37.5" customHeight="1" x14ac:dyDescent="0.3">
      <c r="A9" s="282" t="s">
        <v>252</v>
      </c>
      <c r="B9" s="283"/>
      <c r="C9" s="284"/>
      <c r="D9" s="284"/>
      <c r="E9" s="283"/>
      <c r="F9" s="283"/>
      <c r="G9" s="285"/>
      <c r="H9" s="222"/>
      <c r="I9" s="222"/>
      <c r="J9" s="222"/>
      <c r="K9" s="222"/>
      <c r="L9" s="222"/>
      <c r="M9" s="222"/>
      <c r="N9" s="222"/>
      <c r="O9" s="222"/>
      <c r="P9" s="222"/>
      <c r="Q9" s="222"/>
      <c r="R9" s="222"/>
      <c r="S9" s="222"/>
      <c r="T9" s="222"/>
      <c r="U9" s="222"/>
      <c r="V9" s="222"/>
      <c r="W9" s="222"/>
      <c r="X9" s="222"/>
      <c r="Y9" s="222"/>
      <c r="Z9" s="222"/>
      <c r="AA9" s="222"/>
      <c r="AB9" s="222"/>
      <c r="AC9" s="222"/>
      <c r="AD9" s="222"/>
      <c r="AE9" s="222"/>
      <c r="AF9" s="223"/>
    </row>
    <row r="10" spans="1:34" ht="15" customHeight="1" x14ac:dyDescent="0.3">
      <c r="A10" s="1075" t="s">
        <v>353</v>
      </c>
      <c r="B10" s="266"/>
      <c r="C10" s="272"/>
      <c r="D10" s="272"/>
      <c r="E10" s="267">
        <f t="shared" ref="E10:AE10" si="1">+E11+E20+E29+E32+E35+E37+E39+E43+E51</f>
        <v>2928780</v>
      </c>
      <c r="F10" s="267">
        <f t="shared" si="1"/>
        <v>5132813.53</v>
      </c>
      <c r="G10" s="267">
        <f t="shared" si="1"/>
        <v>8061593.5300000003</v>
      </c>
      <c r="H10" s="267">
        <f t="shared" si="1"/>
        <v>22000</v>
      </c>
      <c r="I10" s="267">
        <f t="shared" si="1"/>
        <v>22000</v>
      </c>
      <c r="J10" s="267">
        <f t="shared" si="1"/>
        <v>22000</v>
      </c>
      <c r="K10" s="267">
        <f t="shared" si="1"/>
        <v>137000</v>
      </c>
      <c r="L10" s="267">
        <f t="shared" si="1"/>
        <v>163000</v>
      </c>
      <c r="M10" s="267">
        <f t="shared" si="1"/>
        <v>64000</v>
      </c>
      <c r="N10" s="267">
        <f t="shared" si="1"/>
        <v>219330</v>
      </c>
      <c r="O10" s="267">
        <f t="shared" si="1"/>
        <v>351000</v>
      </c>
      <c r="P10" s="267">
        <f t="shared" si="1"/>
        <v>731000</v>
      </c>
      <c r="Q10" s="267">
        <f t="shared" si="1"/>
        <v>1401363.9</v>
      </c>
      <c r="R10" s="267">
        <f t="shared" si="1"/>
        <v>1277000</v>
      </c>
      <c r="S10" s="267">
        <f t="shared" si="1"/>
        <v>4409693.9000000004</v>
      </c>
      <c r="T10" s="267">
        <f t="shared" si="1"/>
        <v>90000</v>
      </c>
      <c r="U10" s="267">
        <f t="shared" si="1"/>
        <v>760813.53</v>
      </c>
      <c r="V10" s="267">
        <f t="shared" si="1"/>
        <v>1146150</v>
      </c>
      <c r="W10" s="267">
        <f t="shared" si="1"/>
        <v>480000</v>
      </c>
      <c r="X10" s="267">
        <f t="shared" si="1"/>
        <v>319150</v>
      </c>
      <c r="Y10" s="267">
        <f t="shared" si="1"/>
        <v>205000</v>
      </c>
      <c r="Z10" s="267">
        <f t="shared" si="1"/>
        <v>202786.1</v>
      </c>
      <c r="AA10" s="267">
        <f t="shared" si="1"/>
        <v>127000</v>
      </c>
      <c r="AB10" s="267">
        <f t="shared" si="1"/>
        <v>115000</v>
      </c>
      <c r="AC10" s="267">
        <f t="shared" si="1"/>
        <v>115000</v>
      </c>
      <c r="AD10" s="267">
        <f t="shared" si="1"/>
        <v>91000</v>
      </c>
      <c r="AE10" s="267">
        <f t="shared" si="1"/>
        <v>3651899.63</v>
      </c>
      <c r="AF10" s="266"/>
    </row>
    <row r="11" spans="1:34" x14ac:dyDescent="0.3">
      <c r="A11" s="1076"/>
      <c r="B11" s="1154" t="s">
        <v>2</v>
      </c>
      <c r="C11" s="1135" t="s">
        <v>223</v>
      </c>
      <c r="D11" s="278"/>
      <c r="E11" s="112">
        <f t="shared" ref="E11:AE11" si="2">SUM(E12:E19)</f>
        <v>887000</v>
      </c>
      <c r="F11" s="112">
        <f t="shared" si="2"/>
        <v>0</v>
      </c>
      <c r="G11" s="112">
        <f t="shared" si="2"/>
        <v>887000</v>
      </c>
      <c r="H11" s="112">
        <f t="shared" si="2"/>
        <v>22000</v>
      </c>
      <c r="I11" s="112">
        <f t="shared" si="2"/>
        <v>22000</v>
      </c>
      <c r="J11" s="112">
        <f t="shared" si="2"/>
        <v>22000</v>
      </c>
      <c r="K11" s="112">
        <f t="shared" si="2"/>
        <v>37000</v>
      </c>
      <c r="L11" s="112">
        <f t="shared" si="2"/>
        <v>48000</v>
      </c>
      <c r="M11" s="112">
        <f t="shared" si="2"/>
        <v>49000</v>
      </c>
      <c r="N11" s="112">
        <f t="shared" si="2"/>
        <v>48000</v>
      </c>
      <c r="O11" s="112">
        <f t="shared" si="2"/>
        <v>119000</v>
      </c>
      <c r="P11" s="112">
        <f t="shared" si="2"/>
        <v>119000</v>
      </c>
      <c r="Q11" s="112">
        <f t="shared" si="2"/>
        <v>119000</v>
      </c>
      <c r="R11" s="112">
        <f t="shared" si="2"/>
        <v>115000</v>
      </c>
      <c r="S11" s="112">
        <f t="shared" si="2"/>
        <v>720000</v>
      </c>
      <c r="T11" s="112">
        <f t="shared" si="2"/>
        <v>0</v>
      </c>
      <c r="U11" s="112">
        <f t="shared" si="2"/>
        <v>3000</v>
      </c>
      <c r="V11" s="112">
        <f t="shared" si="2"/>
        <v>3000</v>
      </c>
      <c r="W11" s="112">
        <f t="shared" si="2"/>
        <v>3000</v>
      </c>
      <c r="X11" s="112">
        <f t="shared" si="2"/>
        <v>3000</v>
      </c>
      <c r="Y11" s="112">
        <f t="shared" si="2"/>
        <v>28000</v>
      </c>
      <c r="Z11" s="112">
        <f t="shared" si="2"/>
        <v>27000</v>
      </c>
      <c r="AA11" s="112">
        <f t="shared" si="2"/>
        <v>25000</v>
      </c>
      <c r="AB11" s="112">
        <f t="shared" si="2"/>
        <v>25000</v>
      </c>
      <c r="AC11" s="112">
        <f t="shared" si="2"/>
        <v>25000</v>
      </c>
      <c r="AD11" s="112">
        <f t="shared" si="2"/>
        <v>25000</v>
      </c>
      <c r="AE11" s="112">
        <f t="shared" si="2"/>
        <v>167000</v>
      </c>
      <c r="AF11" s="268"/>
    </row>
    <row r="12" spans="1:34" s="257" customFormat="1" ht="30" customHeight="1" x14ac:dyDescent="0.3">
      <c r="A12" s="1076"/>
      <c r="B12" s="1155"/>
      <c r="C12" s="1136"/>
      <c r="D12" s="560" t="s">
        <v>215</v>
      </c>
      <c r="E12" s="23">
        <f t="shared" ref="E12:E19" si="3">+S12+AE12</f>
        <v>250000</v>
      </c>
      <c r="F12" s="23">
        <v>0</v>
      </c>
      <c r="G12" s="82">
        <f t="shared" ref="G12:G19" si="4">+E12+F12</f>
        <v>250000</v>
      </c>
      <c r="H12" s="252"/>
      <c r="I12" s="252"/>
      <c r="J12" s="252"/>
      <c r="K12" s="252"/>
      <c r="L12" s="252"/>
      <c r="M12" s="252"/>
      <c r="N12" s="252"/>
      <c r="O12" s="556">
        <v>25000</v>
      </c>
      <c r="P12" s="556">
        <v>25000</v>
      </c>
      <c r="Q12" s="556">
        <v>25000</v>
      </c>
      <c r="R12" s="556">
        <v>25000</v>
      </c>
      <c r="S12" s="57">
        <f t="shared" ref="S12:S19" si="5">SUM(H12:R12)</f>
        <v>100000</v>
      </c>
      <c r="T12" s="252"/>
      <c r="U12" s="252"/>
      <c r="V12" s="252"/>
      <c r="W12" s="252"/>
      <c r="X12" s="252"/>
      <c r="Y12" s="556">
        <v>25000</v>
      </c>
      <c r="Z12" s="556">
        <v>25000</v>
      </c>
      <c r="AA12" s="556">
        <v>25000</v>
      </c>
      <c r="AB12" s="556">
        <v>25000</v>
      </c>
      <c r="AC12" s="556">
        <v>25000</v>
      </c>
      <c r="AD12" s="556">
        <v>25000</v>
      </c>
      <c r="AE12" s="74">
        <f t="shared" ref="AE12:AE19" si="6">SUM(T12:AD12)</f>
        <v>150000</v>
      </c>
      <c r="AF12" s="256" t="s">
        <v>185</v>
      </c>
    </row>
    <row r="13" spans="1:34" s="257" customFormat="1" ht="30" customHeight="1" x14ac:dyDescent="0.3">
      <c r="A13" s="1076"/>
      <c r="B13" s="1155"/>
      <c r="C13" s="1136"/>
      <c r="D13" s="585" t="s">
        <v>628</v>
      </c>
      <c r="E13" s="23">
        <f t="shared" si="3"/>
        <v>44000</v>
      </c>
      <c r="F13" s="23">
        <v>0</v>
      </c>
      <c r="G13" s="82">
        <f t="shared" si="4"/>
        <v>44000</v>
      </c>
      <c r="H13" s="562">
        <v>22000</v>
      </c>
      <c r="I13" s="562">
        <v>22000</v>
      </c>
      <c r="J13" s="252"/>
      <c r="K13" s="252"/>
      <c r="L13" s="252"/>
      <c r="M13" s="252"/>
      <c r="N13" s="252"/>
      <c r="O13" s="252"/>
      <c r="P13" s="252"/>
      <c r="Q13" s="252"/>
      <c r="R13" s="252"/>
      <c r="S13" s="57">
        <f t="shared" si="5"/>
        <v>44000</v>
      </c>
      <c r="T13" s="252"/>
      <c r="U13" s="252"/>
      <c r="V13" s="252"/>
      <c r="W13" s="252"/>
      <c r="X13" s="252"/>
      <c r="Y13" s="252"/>
      <c r="Z13" s="252"/>
      <c r="AA13" s="252"/>
      <c r="AB13" s="252"/>
      <c r="AC13" s="252"/>
      <c r="AD13" s="252"/>
      <c r="AE13" s="74">
        <f t="shared" si="6"/>
        <v>0</v>
      </c>
      <c r="AF13" s="256" t="s">
        <v>185</v>
      </c>
    </row>
    <row r="14" spans="1:34" s="257" customFormat="1" ht="30" customHeight="1" x14ac:dyDescent="0.3">
      <c r="A14" s="1076"/>
      <c r="B14" s="1155"/>
      <c r="C14" s="1136"/>
      <c r="D14" s="276" t="s">
        <v>278</v>
      </c>
      <c r="E14" s="23">
        <f t="shared" si="3"/>
        <v>165000</v>
      </c>
      <c r="F14" s="23">
        <v>0</v>
      </c>
      <c r="G14" s="82">
        <f t="shared" si="4"/>
        <v>165000</v>
      </c>
      <c r="H14" s="252"/>
      <c r="I14" s="252"/>
      <c r="J14" s="559"/>
      <c r="K14" s="559">
        <v>11000</v>
      </c>
      <c r="L14" s="559">
        <v>22000</v>
      </c>
      <c r="M14" s="559">
        <v>22000</v>
      </c>
      <c r="N14" s="559">
        <v>22000</v>
      </c>
      <c r="O14" s="559">
        <v>22000</v>
      </c>
      <c r="P14" s="559">
        <v>22000</v>
      </c>
      <c r="Q14" s="559">
        <v>22000</v>
      </c>
      <c r="R14" s="559">
        <v>22000</v>
      </c>
      <c r="S14" s="57">
        <f t="shared" si="5"/>
        <v>165000</v>
      </c>
      <c r="T14" s="252"/>
      <c r="U14" s="252"/>
      <c r="V14" s="252"/>
      <c r="W14" s="252"/>
      <c r="X14" s="252"/>
      <c r="Y14" s="252"/>
      <c r="Z14" s="252"/>
      <c r="AA14" s="252"/>
      <c r="AB14" s="252"/>
      <c r="AC14" s="252"/>
      <c r="AD14" s="252"/>
      <c r="AE14" s="74">
        <f t="shared" si="6"/>
        <v>0</v>
      </c>
      <c r="AF14" s="256" t="s">
        <v>185</v>
      </c>
    </row>
    <row r="15" spans="1:34" s="257" customFormat="1" ht="30" customHeight="1" x14ac:dyDescent="0.3">
      <c r="A15" s="1076"/>
      <c r="B15" s="1155"/>
      <c r="C15" s="1136"/>
      <c r="D15" s="276" t="s">
        <v>276</v>
      </c>
      <c r="E15" s="23">
        <f t="shared" si="3"/>
        <v>48000</v>
      </c>
      <c r="F15" s="23">
        <v>0</v>
      </c>
      <c r="G15" s="82">
        <f t="shared" si="4"/>
        <v>48000</v>
      </c>
      <c r="H15" s="252"/>
      <c r="I15" s="252"/>
      <c r="J15" s="559"/>
      <c r="K15" s="559"/>
      <c r="L15" s="559"/>
      <c r="M15" s="559"/>
      <c r="N15" s="559"/>
      <c r="O15" s="559">
        <v>12000</v>
      </c>
      <c r="P15" s="559">
        <v>12000</v>
      </c>
      <c r="Q15" s="559">
        <v>12000</v>
      </c>
      <c r="R15" s="559">
        <v>12000</v>
      </c>
      <c r="S15" s="57">
        <f t="shared" si="5"/>
        <v>48000</v>
      </c>
      <c r="T15" s="252"/>
      <c r="U15" s="252"/>
      <c r="V15" s="252"/>
      <c r="W15" s="252"/>
      <c r="X15" s="252"/>
      <c r="Y15" s="252"/>
      <c r="Z15" s="252"/>
      <c r="AA15" s="252"/>
      <c r="AB15" s="252"/>
      <c r="AC15" s="252"/>
      <c r="AD15" s="252"/>
      <c r="AE15" s="74">
        <f t="shared" si="6"/>
        <v>0</v>
      </c>
      <c r="AF15" s="256" t="s">
        <v>185</v>
      </c>
    </row>
    <row r="16" spans="1:34" s="257" customFormat="1" ht="30" customHeight="1" x14ac:dyDescent="0.3">
      <c r="A16" s="1076"/>
      <c r="B16" s="1155"/>
      <c r="C16" s="1136"/>
      <c r="D16" s="564" t="s">
        <v>277</v>
      </c>
      <c r="E16" s="23">
        <f t="shared" si="3"/>
        <v>198000</v>
      </c>
      <c r="F16" s="23">
        <v>0</v>
      </c>
      <c r="G16" s="82">
        <f t="shared" si="4"/>
        <v>198000</v>
      </c>
      <c r="H16" s="252"/>
      <c r="I16" s="252"/>
      <c r="J16" s="562">
        <v>22000</v>
      </c>
      <c r="K16" s="562">
        <v>22000</v>
      </c>
      <c r="L16" s="562">
        <v>22000</v>
      </c>
      <c r="M16" s="562">
        <v>22000</v>
      </c>
      <c r="N16" s="562">
        <v>22000</v>
      </c>
      <c r="O16" s="562">
        <v>22000</v>
      </c>
      <c r="P16" s="562">
        <v>22000</v>
      </c>
      <c r="Q16" s="562">
        <v>22000</v>
      </c>
      <c r="R16" s="562">
        <v>22000</v>
      </c>
      <c r="S16" s="57">
        <f t="shared" si="5"/>
        <v>198000</v>
      </c>
      <c r="T16" s="252"/>
      <c r="U16" s="252"/>
      <c r="V16" s="252"/>
      <c r="W16" s="252"/>
      <c r="X16" s="252"/>
      <c r="Y16" s="252"/>
      <c r="Z16" s="252"/>
      <c r="AA16" s="252"/>
      <c r="AB16" s="252"/>
      <c r="AC16" s="252"/>
      <c r="AD16" s="252"/>
      <c r="AE16" s="74">
        <f t="shared" si="6"/>
        <v>0</v>
      </c>
      <c r="AF16" s="256" t="s">
        <v>185</v>
      </c>
    </row>
    <row r="17" spans="1:32" s="257" customFormat="1" ht="30" customHeight="1" x14ac:dyDescent="0.3">
      <c r="A17" s="1076"/>
      <c r="B17" s="1155"/>
      <c r="C17" s="1136"/>
      <c r="D17" s="564" t="s">
        <v>281</v>
      </c>
      <c r="E17" s="23">
        <f t="shared" si="3"/>
        <v>48000</v>
      </c>
      <c r="F17" s="23">
        <v>0</v>
      </c>
      <c r="G17" s="82">
        <f t="shared" si="4"/>
        <v>48000</v>
      </c>
      <c r="H17" s="252"/>
      <c r="I17" s="252"/>
      <c r="J17" s="562"/>
      <c r="K17" s="562"/>
      <c r="L17" s="562"/>
      <c r="M17" s="562"/>
      <c r="N17" s="562"/>
      <c r="O17" s="562">
        <v>12000</v>
      </c>
      <c r="P17" s="562">
        <v>12000</v>
      </c>
      <c r="Q17" s="562">
        <v>12000</v>
      </c>
      <c r="R17" s="562">
        <v>12000</v>
      </c>
      <c r="S17" s="57">
        <f t="shared" si="5"/>
        <v>48000</v>
      </c>
      <c r="T17" s="252"/>
      <c r="U17" s="252"/>
      <c r="V17" s="252"/>
      <c r="W17" s="252"/>
      <c r="X17" s="252"/>
      <c r="Y17" s="252"/>
      <c r="Z17" s="252"/>
      <c r="AA17" s="252"/>
      <c r="AB17" s="252"/>
      <c r="AC17" s="252"/>
      <c r="AD17" s="252"/>
      <c r="AE17" s="74">
        <f t="shared" si="6"/>
        <v>0</v>
      </c>
      <c r="AF17" s="256" t="s">
        <v>185</v>
      </c>
    </row>
    <row r="18" spans="1:32" s="257" customFormat="1" ht="30" customHeight="1" x14ac:dyDescent="0.3">
      <c r="A18" s="1076"/>
      <c r="B18" s="1155"/>
      <c r="C18" s="1136"/>
      <c r="D18" s="561" t="s">
        <v>280</v>
      </c>
      <c r="E18" s="23">
        <f t="shared" si="3"/>
        <v>88000</v>
      </c>
      <c r="F18" s="23">
        <v>0</v>
      </c>
      <c r="G18" s="82">
        <f t="shared" si="4"/>
        <v>88000</v>
      </c>
      <c r="H18" s="252"/>
      <c r="I18" s="252"/>
      <c r="J18" s="557"/>
      <c r="K18" s="557"/>
      <c r="L18" s="557"/>
      <c r="M18" s="557"/>
      <c r="N18" s="557"/>
      <c r="O18" s="557">
        <v>22000</v>
      </c>
      <c r="P18" s="557">
        <v>22000</v>
      </c>
      <c r="Q18" s="557">
        <v>22000</v>
      </c>
      <c r="R18" s="557">
        <v>22000</v>
      </c>
      <c r="S18" s="57">
        <f t="shared" si="5"/>
        <v>88000</v>
      </c>
      <c r="T18" s="252"/>
      <c r="U18" s="252"/>
      <c r="V18" s="252"/>
      <c r="W18" s="252"/>
      <c r="X18" s="252"/>
      <c r="Y18" s="252"/>
      <c r="Z18" s="252"/>
      <c r="AA18" s="252"/>
      <c r="AB18" s="252"/>
      <c r="AC18" s="252"/>
      <c r="AD18" s="252"/>
      <c r="AE18" s="74">
        <f t="shared" si="6"/>
        <v>0</v>
      </c>
      <c r="AF18" s="256" t="s">
        <v>185</v>
      </c>
    </row>
    <row r="19" spans="1:32" ht="60" customHeight="1" x14ac:dyDescent="0.3">
      <c r="A19" s="1076"/>
      <c r="B19" s="1156"/>
      <c r="C19" s="1137"/>
      <c r="D19" s="273" t="s">
        <v>227</v>
      </c>
      <c r="E19" s="23">
        <f t="shared" si="3"/>
        <v>46000</v>
      </c>
      <c r="F19" s="23">
        <v>0</v>
      </c>
      <c r="G19" s="82">
        <f t="shared" si="4"/>
        <v>46000</v>
      </c>
      <c r="H19" s="73"/>
      <c r="I19" s="252"/>
      <c r="J19" s="73"/>
      <c r="K19" s="73">
        <v>4000</v>
      </c>
      <c r="L19" s="73">
        <v>4000</v>
      </c>
      <c r="M19" s="73">
        <v>5000</v>
      </c>
      <c r="N19" s="569">
        <v>4000</v>
      </c>
      <c r="O19" s="73">
        <v>4000</v>
      </c>
      <c r="P19" s="73">
        <v>4000</v>
      </c>
      <c r="Q19" s="73">
        <v>4000</v>
      </c>
      <c r="R19" s="73"/>
      <c r="S19" s="57">
        <f t="shared" si="5"/>
        <v>29000</v>
      </c>
      <c r="T19" s="73"/>
      <c r="U19" s="73">
        <v>3000</v>
      </c>
      <c r="V19" s="73">
        <v>3000</v>
      </c>
      <c r="W19" s="73">
        <v>3000</v>
      </c>
      <c r="X19" s="73">
        <v>3000</v>
      </c>
      <c r="Y19" s="73">
        <v>3000</v>
      </c>
      <c r="Z19" s="73">
        <v>2000</v>
      </c>
      <c r="AA19" s="73"/>
      <c r="AB19" s="73"/>
      <c r="AC19" s="73"/>
      <c r="AD19" s="73"/>
      <c r="AE19" s="74">
        <f t="shared" si="6"/>
        <v>17000</v>
      </c>
      <c r="AF19" s="256" t="s">
        <v>185</v>
      </c>
    </row>
    <row r="20" spans="1:32" ht="15" customHeight="1" x14ac:dyDescent="0.3">
      <c r="A20" s="1076"/>
      <c r="B20" s="1229" t="s">
        <v>3</v>
      </c>
      <c r="C20" s="1230" t="s">
        <v>496</v>
      </c>
      <c r="D20" s="278"/>
      <c r="E20" s="207">
        <f t="shared" ref="E20:AE20" si="7">SUM(E21:E28)</f>
        <v>865000</v>
      </c>
      <c r="F20" s="207">
        <f t="shared" si="7"/>
        <v>0</v>
      </c>
      <c r="G20" s="112">
        <f t="shared" si="7"/>
        <v>865000</v>
      </c>
      <c r="H20" s="112">
        <f t="shared" si="7"/>
        <v>0</v>
      </c>
      <c r="I20" s="112">
        <f t="shared" si="7"/>
        <v>0</v>
      </c>
      <c r="J20" s="112">
        <f t="shared" si="7"/>
        <v>0</v>
      </c>
      <c r="K20" s="112">
        <f t="shared" si="7"/>
        <v>0</v>
      </c>
      <c r="L20" s="112">
        <f t="shared" si="7"/>
        <v>0</v>
      </c>
      <c r="M20" s="112">
        <f t="shared" si="7"/>
        <v>0</v>
      </c>
      <c r="N20" s="112">
        <f t="shared" si="7"/>
        <v>97000</v>
      </c>
      <c r="O20" s="112">
        <f t="shared" si="7"/>
        <v>12000</v>
      </c>
      <c r="P20" s="112">
        <f t="shared" si="7"/>
        <v>12000</v>
      </c>
      <c r="Q20" s="112">
        <f t="shared" si="7"/>
        <v>72000</v>
      </c>
      <c r="R20" s="112">
        <f t="shared" si="7"/>
        <v>12000</v>
      </c>
      <c r="S20" s="112">
        <f t="shared" si="7"/>
        <v>205000</v>
      </c>
      <c r="T20" s="112">
        <f t="shared" si="7"/>
        <v>90000</v>
      </c>
      <c r="U20" s="112">
        <f t="shared" si="7"/>
        <v>150000</v>
      </c>
      <c r="V20" s="112">
        <f t="shared" si="7"/>
        <v>90000</v>
      </c>
      <c r="W20" s="112">
        <f t="shared" si="7"/>
        <v>102000</v>
      </c>
      <c r="X20" s="112">
        <f t="shared" si="7"/>
        <v>102000</v>
      </c>
      <c r="Y20" s="112">
        <f t="shared" si="7"/>
        <v>102000</v>
      </c>
      <c r="Z20" s="112">
        <f t="shared" si="7"/>
        <v>12000</v>
      </c>
      <c r="AA20" s="112">
        <f t="shared" si="7"/>
        <v>12000</v>
      </c>
      <c r="AB20" s="112">
        <f t="shared" si="7"/>
        <v>0</v>
      </c>
      <c r="AC20" s="112">
        <f t="shared" si="7"/>
        <v>0</v>
      </c>
      <c r="AD20" s="112">
        <f t="shared" si="7"/>
        <v>0</v>
      </c>
      <c r="AE20" s="112">
        <f t="shared" si="7"/>
        <v>660000</v>
      </c>
      <c r="AF20" s="268"/>
    </row>
    <row r="21" spans="1:32" s="257" customFormat="1" ht="30" customHeight="1" x14ac:dyDescent="0.3">
      <c r="A21" s="1076"/>
      <c r="B21" s="1229"/>
      <c r="C21" s="1230"/>
      <c r="D21" s="276" t="s">
        <v>278</v>
      </c>
      <c r="E21" s="23">
        <f t="shared" ref="E21:E28" si="8">+S21+AE21</f>
        <v>132000</v>
      </c>
      <c r="F21" s="23">
        <v>0</v>
      </c>
      <c r="G21" s="82">
        <f t="shared" ref="G21:G28" si="9">+E21+F21</f>
        <v>132000</v>
      </c>
      <c r="H21" s="252"/>
      <c r="I21" s="252"/>
      <c r="J21" s="252"/>
      <c r="K21" s="252"/>
      <c r="L21" s="252"/>
      <c r="M21" s="252"/>
      <c r="N21" s="252"/>
      <c r="O21" s="252"/>
      <c r="P21" s="252"/>
      <c r="Q21" s="252"/>
      <c r="R21" s="252"/>
      <c r="S21" s="57">
        <f t="shared" ref="S21:S28" si="10">SUM(H21:R21)</f>
        <v>0</v>
      </c>
      <c r="T21" s="559">
        <v>22000</v>
      </c>
      <c r="U21" s="559">
        <v>22000</v>
      </c>
      <c r="V21" s="559">
        <v>22000</v>
      </c>
      <c r="W21" s="559">
        <v>22000</v>
      </c>
      <c r="X21" s="559">
        <v>22000</v>
      </c>
      <c r="Y21" s="559">
        <v>22000</v>
      </c>
      <c r="Z21" s="61"/>
      <c r="AA21" s="61"/>
      <c r="AB21" s="61"/>
      <c r="AC21" s="61"/>
      <c r="AD21" s="61"/>
      <c r="AE21" s="74">
        <f t="shared" ref="AE21:AE28" si="11">SUM(T21:AD21)</f>
        <v>132000</v>
      </c>
      <c r="AF21" s="256" t="s">
        <v>185</v>
      </c>
    </row>
    <row r="22" spans="1:32" s="257" customFormat="1" ht="30" customHeight="1" x14ac:dyDescent="0.3">
      <c r="A22" s="1076"/>
      <c r="B22" s="1229"/>
      <c r="C22" s="1230"/>
      <c r="D22" s="276" t="s">
        <v>276</v>
      </c>
      <c r="E22" s="23">
        <f t="shared" si="8"/>
        <v>72000</v>
      </c>
      <c r="F22" s="23">
        <v>0</v>
      </c>
      <c r="G22" s="82">
        <f t="shared" si="9"/>
        <v>72000</v>
      </c>
      <c r="H22" s="252"/>
      <c r="I22" s="252"/>
      <c r="J22" s="252"/>
      <c r="K22" s="252"/>
      <c r="L22" s="252"/>
      <c r="M22" s="252"/>
      <c r="N22" s="252"/>
      <c r="O22" s="252"/>
      <c r="P22" s="252"/>
      <c r="Q22" s="252"/>
      <c r="R22" s="252"/>
      <c r="S22" s="57">
        <f t="shared" si="10"/>
        <v>0</v>
      </c>
      <c r="T22" s="559">
        <v>12000</v>
      </c>
      <c r="U22" s="559">
        <v>12000</v>
      </c>
      <c r="V22" s="559">
        <v>12000</v>
      </c>
      <c r="W22" s="559">
        <v>12000</v>
      </c>
      <c r="X22" s="559">
        <v>12000</v>
      </c>
      <c r="Y22" s="559">
        <v>12000</v>
      </c>
      <c r="Z22" s="61"/>
      <c r="AA22" s="61"/>
      <c r="AB22" s="61"/>
      <c r="AC22" s="61"/>
      <c r="AD22" s="61"/>
      <c r="AE22" s="74">
        <f t="shared" si="11"/>
        <v>72000</v>
      </c>
      <c r="AF22" s="256" t="s">
        <v>185</v>
      </c>
    </row>
    <row r="23" spans="1:32" s="257" customFormat="1" ht="30" customHeight="1" x14ac:dyDescent="0.3">
      <c r="A23" s="1076"/>
      <c r="B23" s="1229"/>
      <c r="C23" s="1230"/>
      <c r="D23" s="564" t="s">
        <v>277</v>
      </c>
      <c r="E23" s="23">
        <f t="shared" si="8"/>
        <v>132000</v>
      </c>
      <c r="F23" s="23">
        <v>0</v>
      </c>
      <c r="G23" s="82">
        <f t="shared" si="9"/>
        <v>132000</v>
      </c>
      <c r="H23" s="252"/>
      <c r="I23" s="252"/>
      <c r="J23" s="252"/>
      <c r="K23" s="252"/>
      <c r="L23" s="252"/>
      <c r="M23" s="252"/>
      <c r="N23" s="252"/>
      <c r="O23" s="252"/>
      <c r="P23" s="252"/>
      <c r="Q23" s="252"/>
      <c r="R23" s="252"/>
      <c r="S23" s="57">
        <f t="shared" si="10"/>
        <v>0</v>
      </c>
      <c r="T23" s="562">
        <v>22000</v>
      </c>
      <c r="U23" s="562">
        <v>22000</v>
      </c>
      <c r="V23" s="562">
        <v>22000</v>
      </c>
      <c r="W23" s="562">
        <v>22000</v>
      </c>
      <c r="X23" s="562">
        <v>22000</v>
      </c>
      <c r="Y23" s="562">
        <v>22000</v>
      </c>
      <c r="Z23" s="252"/>
      <c r="AA23" s="252"/>
      <c r="AB23" s="252"/>
      <c r="AC23" s="252"/>
      <c r="AD23" s="252"/>
      <c r="AE23" s="74">
        <f t="shared" si="11"/>
        <v>132000</v>
      </c>
      <c r="AF23" s="256" t="s">
        <v>185</v>
      </c>
    </row>
    <row r="24" spans="1:32" s="257" customFormat="1" ht="30" customHeight="1" x14ac:dyDescent="0.3">
      <c r="A24" s="1076"/>
      <c r="B24" s="1229"/>
      <c r="C24" s="1230"/>
      <c r="D24" s="564" t="s">
        <v>279</v>
      </c>
      <c r="E24" s="23">
        <f t="shared" si="8"/>
        <v>72000</v>
      </c>
      <c r="F24" s="23">
        <v>0</v>
      </c>
      <c r="G24" s="82">
        <f t="shared" si="9"/>
        <v>72000</v>
      </c>
      <c r="H24" s="252"/>
      <c r="I24" s="252"/>
      <c r="J24" s="252"/>
      <c r="K24" s="252"/>
      <c r="L24" s="252"/>
      <c r="M24" s="252"/>
      <c r="N24" s="252"/>
      <c r="O24" s="252"/>
      <c r="P24" s="252"/>
      <c r="Q24" s="252"/>
      <c r="R24" s="252"/>
      <c r="S24" s="57">
        <f t="shared" si="10"/>
        <v>0</v>
      </c>
      <c r="T24" s="562">
        <v>12000</v>
      </c>
      <c r="U24" s="562">
        <v>12000</v>
      </c>
      <c r="V24" s="562">
        <v>12000</v>
      </c>
      <c r="W24" s="562">
        <v>12000</v>
      </c>
      <c r="X24" s="562">
        <v>12000</v>
      </c>
      <c r="Y24" s="562">
        <v>12000</v>
      </c>
      <c r="Z24" s="252"/>
      <c r="AA24" s="252"/>
      <c r="AB24" s="252"/>
      <c r="AC24" s="252"/>
      <c r="AD24" s="252"/>
      <c r="AE24" s="74">
        <f t="shared" si="11"/>
        <v>72000</v>
      </c>
      <c r="AF24" s="256" t="s">
        <v>185</v>
      </c>
    </row>
    <row r="25" spans="1:32" s="257" customFormat="1" ht="30" customHeight="1" x14ac:dyDescent="0.3">
      <c r="A25" s="1076"/>
      <c r="B25" s="1229"/>
      <c r="C25" s="1230"/>
      <c r="D25" s="561" t="s">
        <v>280</v>
      </c>
      <c r="E25" s="23">
        <f t="shared" si="8"/>
        <v>132000</v>
      </c>
      <c r="F25" s="23">
        <v>0</v>
      </c>
      <c r="G25" s="82">
        <f t="shared" si="9"/>
        <v>132000</v>
      </c>
      <c r="H25" s="252"/>
      <c r="I25" s="252"/>
      <c r="J25" s="252"/>
      <c r="K25" s="252"/>
      <c r="L25" s="252"/>
      <c r="M25" s="252"/>
      <c r="N25" s="252"/>
      <c r="O25" s="252"/>
      <c r="P25" s="252"/>
      <c r="Q25" s="252"/>
      <c r="R25" s="252"/>
      <c r="S25" s="57">
        <f t="shared" si="10"/>
        <v>0</v>
      </c>
      <c r="T25" s="557">
        <v>22000</v>
      </c>
      <c r="U25" s="557">
        <v>22000</v>
      </c>
      <c r="V25" s="557">
        <v>22000</v>
      </c>
      <c r="W25" s="557">
        <v>22000</v>
      </c>
      <c r="X25" s="557">
        <v>22000</v>
      </c>
      <c r="Y25" s="557">
        <v>22000</v>
      </c>
      <c r="Z25" s="252"/>
      <c r="AA25" s="252"/>
      <c r="AB25" s="252"/>
      <c r="AC25" s="252"/>
      <c r="AD25" s="252"/>
      <c r="AE25" s="74">
        <f t="shared" si="11"/>
        <v>132000</v>
      </c>
      <c r="AF25" s="256" t="s">
        <v>185</v>
      </c>
    </row>
    <row r="26" spans="1:32" ht="75" customHeight="1" x14ac:dyDescent="0.3">
      <c r="A26" s="1076"/>
      <c r="B26" s="1229"/>
      <c r="C26" s="1230"/>
      <c r="D26" s="274" t="s">
        <v>570</v>
      </c>
      <c r="E26" s="23">
        <f t="shared" si="8"/>
        <v>120000</v>
      </c>
      <c r="F26" s="23">
        <v>0</v>
      </c>
      <c r="G26" s="82">
        <f t="shared" si="9"/>
        <v>120000</v>
      </c>
      <c r="H26" s="73"/>
      <c r="I26" s="73"/>
      <c r="J26" s="73"/>
      <c r="K26" s="73"/>
      <c r="L26" s="73"/>
      <c r="M26" s="73"/>
      <c r="N26" s="569">
        <v>12000</v>
      </c>
      <c r="O26" s="73">
        <v>12000</v>
      </c>
      <c r="P26" s="73">
        <v>12000</v>
      </c>
      <c r="Q26" s="73">
        <v>12000</v>
      </c>
      <c r="R26" s="73">
        <v>12000</v>
      </c>
      <c r="S26" s="57">
        <f t="shared" si="10"/>
        <v>60000</v>
      </c>
      <c r="T26" s="73"/>
      <c r="U26" s="73"/>
      <c r="V26" s="73"/>
      <c r="W26" s="73">
        <v>12000</v>
      </c>
      <c r="X26" s="73">
        <v>12000</v>
      </c>
      <c r="Y26" s="73">
        <v>12000</v>
      </c>
      <c r="Z26" s="73">
        <v>12000</v>
      </c>
      <c r="AA26" s="73">
        <v>12000</v>
      </c>
      <c r="AB26" s="73"/>
      <c r="AC26" s="73"/>
      <c r="AD26" s="73"/>
      <c r="AE26" s="74">
        <f t="shared" si="11"/>
        <v>60000</v>
      </c>
      <c r="AF26" s="24" t="s">
        <v>232</v>
      </c>
    </row>
    <row r="27" spans="1:32" ht="31.5" customHeight="1" x14ac:dyDescent="0.3">
      <c r="A27" s="1076"/>
      <c r="B27" s="1229"/>
      <c r="C27" s="1230"/>
      <c r="D27" s="274" t="s">
        <v>225</v>
      </c>
      <c r="E27" s="23">
        <f t="shared" si="8"/>
        <v>25000</v>
      </c>
      <c r="F27" s="23">
        <v>0</v>
      </c>
      <c r="G27" s="82">
        <f t="shared" si="9"/>
        <v>25000</v>
      </c>
      <c r="H27" s="73"/>
      <c r="I27" s="73"/>
      <c r="J27" s="73"/>
      <c r="K27" s="73"/>
      <c r="L27" s="73"/>
      <c r="M27" s="73"/>
      <c r="N27" s="569">
        <v>25000</v>
      </c>
      <c r="O27" s="73"/>
      <c r="P27" s="73"/>
      <c r="Q27" s="73"/>
      <c r="R27" s="73"/>
      <c r="S27" s="57">
        <f t="shared" si="10"/>
        <v>25000</v>
      </c>
      <c r="T27" s="73"/>
      <c r="U27" s="73"/>
      <c r="V27" s="73"/>
      <c r="W27" s="73"/>
      <c r="X27" s="73"/>
      <c r="Y27" s="73"/>
      <c r="Z27" s="73"/>
      <c r="AA27" s="73"/>
      <c r="AB27" s="73"/>
      <c r="AC27" s="73"/>
      <c r="AD27" s="73"/>
      <c r="AE27" s="74">
        <f t="shared" si="11"/>
        <v>0</v>
      </c>
      <c r="AF27" s="24" t="s">
        <v>232</v>
      </c>
    </row>
    <row r="28" spans="1:32" ht="57.6" x14ac:dyDescent="0.3">
      <c r="A28" s="1076"/>
      <c r="B28" s="1229"/>
      <c r="C28" s="1230"/>
      <c r="D28" s="274" t="s">
        <v>571</v>
      </c>
      <c r="E28" s="23">
        <f t="shared" si="8"/>
        <v>180000</v>
      </c>
      <c r="F28" s="23">
        <v>0</v>
      </c>
      <c r="G28" s="82">
        <f t="shared" si="9"/>
        <v>180000</v>
      </c>
      <c r="H28" s="73"/>
      <c r="I28" s="73"/>
      <c r="J28" s="73"/>
      <c r="K28" s="73"/>
      <c r="L28" s="73"/>
      <c r="M28" s="73"/>
      <c r="N28" s="569">
        <v>60000</v>
      </c>
      <c r="O28" s="73"/>
      <c r="P28" s="73"/>
      <c r="Q28" s="73">
        <v>60000</v>
      </c>
      <c r="R28" s="73"/>
      <c r="S28" s="57">
        <f t="shared" si="10"/>
        <v>120000</v>
      </c>
      <c r="T28" s="73"/>
      <c r="U28" s="73">
        <v>60000</v>
      </c>
      <c r="V28" s="73"/>
      <c r="W28" s="73"/>
      <c r="X28" s="73"/>
      <c r="Y28" s="73"/>
      <c r="Z28" s="73"/>
      <c r="AA28" s="73"/>
      <c r="AB28" s="73"/>
      <c r="AC28" s="73"/>
      <c r="AD28" s="73"/>
      <c r="AE28" s="74">
        <f t="shared" si="11"/>
        <v>60000</v>
      </c>
      <c r="AF28" s="24" t="s">
        <v>232</v>
      </c>
    </row>
    <row r="29" spans="1:32" x14ac:dyDescent="0.3">
      <c r="A29" s="1076"/>
      <c r="B29" s="1229" t="s">
        <v>4</v>
      </c>
      <c r="C29" s="1230" t="s">
        <v>495</v>
      </c>
      <c r="D29" s="278"/>
      <c r="E29" s="114">
        <f>SUM(E30:E31)</f>
        <v>0</v>
      </c>
      <c r="F29" s="114">
        <f t="shared" ref="F29:U29" si="12">SUM(F30:F31)</f>
        <v>3051000</v>
      </c>
      <c r="G29" s="114">
        <f t="shared" si="12"/>
        <v>3051000</v>
      </c>
      <c r="H29" s="114">
        <f t="shared" si="12"/>
        <v>0</v>
      </c>
      <c r="I29" s="114">
        <f t="shared" si="12"/>
        <v>0</v>
      </c>
      <c r="J29" s="114">
        <f t="shared" si="12"/>
        <v>0</v>
      </c>
      <c r="K29" s="114">
        <f t="shared" si="12"/>
        <v>0</v>
      </c>
      <c r="L29" s="114">
        <f t="shared" si="12"/>
        <v>0</v>
      </c>
      <c r="M29" s="114">
        <f t="shared" si="12"/>
        <v>0</v>
      </c>
      <c r="N29" s="114">
        <f t="shared" si="12"/>
        <v>0</v>
      </c>
      <c r="O29" s="114">
        <f t="shared" si="12"/>
        <v>0</v>
      </c>
      <c r="P29" s="114">
        <f>SUM(P30:P31)</f>
        <v>500000</v>
      </c>
      <c r="Q29" s="114">
        <f t="shared" si="12"/>
        <v>900000</v>
      </c>
      <c r="R29" s="114">
        <f t="shared" si="12"/>
        <v>900000</v>
      </c>
      <c r="S29" s="114">
        <f t="shared" si="12"/>
        <v>2300000</v>
      </c>
      <c r="T29" s="114">
        <f t="shared" si="12"/>
        <v>0</v>
      </c>
      <c r="U29" s="114">
        <f t="shared" si="12"/>
        <v>351000</v>
      </c>
      <c r="V29" s="114">
        <f t="shared" ref="V29:AE29" si="13">SUM(V30:V31)</f>
        <v>400000</v>
      </c>
      <c r="W29" s="114">
        <f t="shared" si="13"/>
        <v>0</v>
      </c>
      <c r="X29" s="114">
        <f t="shared" si="13"/>
        <v>0</v>
      </c>
      <c r="Y29" s="114">
        <f t="shared" si="13"/>
        <v>0</v>
      </c>
      <c r="Z29" s="114">
        <f t="shared" si="13"/>
        <v>0</v>
      </c>
      <c r="AA29" s="114">
        <f t="shared" si="13"/>
        <v>0</v>
      </c>
      <c r="AB29" s="114">
        <f t="shared" si="13"/>
        <v>0</v>
      </c>
      <c r="AC29" s="114">
        <f t="shared" si="13"/>
        <v>0</v>
      </c>
      <c r="AD29" s="114">
        <f t="shared" si="13"/>
        <v>0</v>
      </c>
      <c r="AE29" s="114">
        <f t="shared" si="13"/>
        <v>751000</v>
      </c>
      <c r="AF29" s="24"/>
    </row>
    <row r="30" spans="1:32" ht="45" customHeight="1" x14ac:dyDescent="0.3">
      <c r="A30" s="1076"/>
      <c r="B30" s="1229"/>
      <c r="C30" s="1230"/>
      <c r="D30" s="274" t="s">
        <v>224</v>
      </c>
      <c r="E30" s="23">
        <v>0</v>
      </c>
      <c r="F30" s="23">
        <f>+S30+AE30</f>
        <v>2700000</v>
      </c>
      <c r="G30" s="82">
        <f>+E30+F30</f>
        <v>2700000</v>
      </c>
      <c r="H30" s="73"/>
      <c r="I30" s="73"/>
      <c r="J30" s="73"/>
      <c r="K30" s="73"/>
      <c r="L30" s="73"/>
      <c r="M30" s="73"/>
      <c r="N30" s="73"/>
      <c r="O30" s="73"/>
      <c r="P30" s="73">
        <v>500000</v>
      </c>
      <c r="Q30" s="73">
        <v>900000</v>
      </c>
      <c r="R30" s="73">
        <v>900000</v>
      </c>
      <c r="S30" s="57">
        <f>SUM(H30:R30)</f>
        <v>2300000</v>
      </c>
      <c r="T30" s="73"/>
      <c r="U30" s="73"/>
      <c r="V30" s="73">
        <v>400000</v>
      </c>
      <c r="W30" s="73"/>
      <c r="X30" s="73"/>
      <c r="Y30" s="73"/>
      <c r="Z30" s="73"/>
      <c r="AA30" s="73"/>
      <c r="AB30" s="73"/>
      <c r="AC30" s="73"/>
      <c r="AD30" s="73"/>
      <c r="AE30" s="74">
        <f>SUM(T30:AD30)</f>
        <v>400000</v>
      </c>
      <c r="AF30" s="24" t="s">
        <v>232</v>
      </c>
    </row>
    <row r="31" spans="1:32" ht="49.5" customHeight="1" x14ac:dyDescent="0.3">
      <c r="A31" s="1076"/>
      <c r="B31" s="1229"/>
      <c r="C31" s="1230"/>
      <c r="D31" s="274" t="s">
        <v>226</v>
      </c>
      <c r="E31" s="23">
        <v>0</v>
      </c>
      <c r="F31" s="23">
        <f>+S31+AE31</f>
        <v>351000</v>
      </c>
      <c r="G31" s="82">
        <f>+E31+F31</f>
        <v>351000</v>
      </c>
      <c r="H31" s="73"/>
      <c r="I31" s="73"/>
      <c r="J31" s="73"/>
      <c r="K31" s="73"/>
      <c r="L31" s="73"/>
      <c r="M31" s="73"/>
      <c r="N31" s="73"/>
      <c r="P31" s="73"/>
      <c r="Q31" s="73"/>
      <c r="R31" s="73"/>
      <c r="S31" s="57">
        <f>SUM(H31:R31)</f>
        <v>0</v>
      </c>
      <c r="T31" s="73"/>
      <c r="U31" s="73">
        <v>351000</v>
      </c>
      <c r="V31" s="73"/>
      <c r="W31" s="73"/>
      <c r="X31" s="73"/>
      <c r="Y31" s="73"/>
      <c r="Z31" s="73"/>
      <c r="AA31" s="73"/>
      <c r="AB31" s="73"/>
      <c r="AC31" s="73"/>
      <c r="AD31" s="73"/>
      <c r="AE31" s="74">
        <f>SUM(T31:AD31)</f>
        <v>351000</v>
      </c>
      <c r="AF31" s="24" t="s">
        <v>232</v>
      </c>
    </row>
    <row r="32" spans="1:32" ht="15" customHeight="1" x14ac:dyDescent="0.3">
      <c r="A32" s="1076"/>
      <c r="B32" s="1229" t="s">
        <v>8</v>
      </c>
      <c r="C32" s="1230" t="s">
        <v>395</v>
      </c>
      <c r="D32" s="278"/>
      <c r="E32" s="207">
        <f>SUM(E33:E34)</f>
        <v>280000</v>
      </c>
      <c r="F32" s="207">
        <f>SUM(F33:F34)</f>
        <v>0</v>
      </c>
      <c r="G32" s="112">
        <f>SUM(G33:G34)</f>
        <v>280000</v>
      </c>
      <c r="H32" s="112">
        <f t="shared" ref="H32:AE32" si="14">SUM(H33:H34)</f>
        <v>0</v>
      </c>
      <c r="I32" s="112">
        <f t="shared" si="14"/>
        <v>0</v>
      </c>
      <c r="J32" s="112">
        <f t="shared" si="14"/>
        <v>0</v>
      </c>
      <c r="K32" s="112">
        <f t="shared" si="14"/>
        <v>0</v>
      </c>
      <c r="L32" s="112">
        <f t="shared" si="14"/>
        <v>0</v>
      </c>
      <c r="M32" s="112">
        <f t="shared" si="14"/>
        <v>0</v>
      </c>
      <c r="N32" s="112">
        <f t="shared" si="14"/>
        <v>0</v>
      </c>
      <c r="O32" s="112">
        <f t="shared" si="14"/>
        <v>30000</v>
      </c>
      <c r="P32" s="112">
        <f t="shared" si="14"/>
        <v>0</v>
      </c>
      <c r="Q32" s="112">
        <f t="shared" si="14"/>
        <v>140363.9</v>
      </c>
      <c r="R32" s="112">
        <f t="shared" si="14"/>
        <v>0</v>
      </c>
      <c r="S32" s="112">
        <f t="shared" si="14"/>
        <v>170363.9</v>
      </c>
      <c r="T32" s="112">
        <f t="shared" si="14"/>
        <v>0</v>
      </c>
      <c r="U32" s="112">
        <f t="shared" si="14"/>
        <v>0</v>
      </c>
      <c r="V32" s="112">
        <f t="shared" si="14"/>
        <v>25000</v>
      </c>
      <c r="W32" s="112">
        <f t="shared" si="14"/>
        <v>25000</v>
      </c>
      <c r="X32" s="112">
        <f t="shared" si="14"/>
        <v>25000</v>
      </c>
      <c r="Y32" s="112">
        <f t="shared" si="14"/>
        <v>25000</v>
      </c>
      <c r="Z32" s="112">
        <f t="shared" si="14"/>
        <v>9636.1</v>
      </c>
      <c r="AA32" s="112">
        <f t="shared" si="14"/>
        <v>0</v>
      </c>
      <c r="AB32" s="112">
        <f t="shared" si="14"/>
        <v>0</v>
      </c>
      <c r="AC32" s="112">
        <f t="shared" si="14"/>
        <v>0</v>
      </c>
      <c r="AD32" s="112">
        <f t="shared" si="14"/>
        <v>0</v>
      </c>
      <c r="AE32" s="112">
        <f t="shared" si="14"/>
        <v>109636.1</v>
      </c>
      <c r="AF32" s="268"/>
    </row>
    <row r="33" spans="1:32" ht="72" customHeight="1" x14ac:dyDescent="0.3">
      <c r="A33" s="1076"/>
      <c r="B33" s="1229"/>
      <c r="C33" s="1230"/>
      <c r="D33" s="274" t="s">
        <v>228</v>
      </c>
      <c r="E33" s="23">
        <f>+S33+AE33</f>
        <v>30000</v>
      </c>
      <c r="F33" s="23">
        <v>0</v>
      </c>
      <c r="G33" s="82">
        <f>+E33+F33</f>
        <v>30000</v>
      </c>
      <c r="H33" s="73"/>
      <c r="I33" s="73"/>
      <c r="J33" s="73"/>
      <c r="K33" s="73"/>
      <c r="L33" s="73"/>
      <c r="M33" s="73"/>
      <c r="N33" s="73"/>
      <c r="O33" s="73">
        <v>30000</v>
      </c>
      <c r="P33" s="73"/>
      <c r="Q33" s="73"/>
      <c r="R33" s="73"/>
      <c r="S33" s="57">
        <f>SUM(H33:R33)</f>
        <v>30000</v>
      </c>
      <c r="T33" s="73"/>
      <c r="U33" s="73"/>
      <c r="V33" s="73"/>
      <c r="W33" s="73"/>
      <c r="X33" s="73"/>
      <c r="Y33" s="73"/>
      <c r="Z33" s="73"/>
      <c r="AA33" s="73"/>
      <c r="AB33" s="73"/>
      <c r="AC33" s="73"/>
      <c r="AD33" s="73"/>
      <c r="AE33" s="74">
        <f>SUM(T33:AD33)</f>
        <v>0</v>
      </c>
      <c r="AF33" s="24" t="s">
        <v>233</v>
      </c>
    </row>
    <row r="34" spans="1:32" ht="71.400000000000006" customHeight="1" x14ac:dyDescent="0.3">
      <c r="A34" s="1076"/>
      <c r="B34" s="1229"/>
      <c r="C34" s="1230"/>
      <c r="D34" s="274" t="s">
        <v>231</v>
      </c>
      <c r="E34" s="23">
        <f>+S34+AE34</f>
        <v>250000</v>
      </c>
      <c r="F34" s="23">
        <v>0</v>
      </c>
      <c r="G34" s="82">
        <f>+E34+F34</f>
        <v>250000</v>
      </c>
      <c r="H34" s="73"/>
      <c r="I34" s="73"/>
      <c r="J34" s="73"/>
      <c r="K34" s="73"/>
      <c r="L34" s="73"/>
      <c r="M34" s="73"/>
      <c r="N34" s="73"/>
      <c r="O34" s="73"/>
      <c r="P34" s="73"/>
      <c r="Q34" s="73">
        <v>140363.9</v>
      </c>
      <c r="R34" s="73"/>
      <c r="S34" s="57">
        <f>SUM(H34:R34)</f>
        <v>140363.9</v>
      </c>
      <c r="T34" s="73"/>
      <c r="U34" s="73"/>
      <c r="V34" s="73">
        <v>25000</v>
      </c>
      <c r="W34" s="73">
        <v>25000</v>
      </c>
      <c r="X34" s="73">
        <v>25000</v>
      </c>
      <c r="Y34" s="73">
        <v>25000</v>
      </c>
      <c r="Z34" s="73">
        <f>25000-15363.9</f>
        <v>9636.1</v>
      </c>
      <c r="AA34" s="73"/>
      <c r="AB34" s="73"/>
      <c r="AC34" s="73"/>
      <c r="AD34" s="73"/>
      <c r="AE34" s="74">
        <f>SUM(T34:AD34)</f>
        <v>109636.1</v>
      </c>
      <c r="AF34" s="24" t="s">
        <v>233</v>
      </c>
    </row>
    <row r="35" spans="1:32" x14ac:dyDescent="0.3">
      <c r="A35" s="1076"/>
      <c r="B35" s="1152" t="s">
        <v>9</v>
      </c>
      <c r="C35" s="1132" t="s">
        <v>230</v>
      </c>
      <c r="D35" s="278"/>
      <c r="E35" s="114">
        <f>SUM(E36)</f>
        <v>0</v>
      </c>
      <c r="F35" s="114">
        <f t="shared" ref="F35:AE35" si="15">SUM(F36)</f>
        <v>170000</v>
      </c>
      <c r="G35" s="114">
        <f t="shared" si="15"/>
        <v>170000</v>
      </c>
      <c r="H35" s="114">
        <f t="shared" si="15"/>
        <v>0</v>
      </c>
      <c r="I35" s="114">
        <f t="shared" si="15"/>
        <v>0</v>
      </c>
      <c r="J35" s="114">
        <f t="shared" si="15"/>
        <v>0</v>
      </c>
      <c r="K35" s="114">
        <f t="shared" si="15"/>
        <v>0</v>
      </c>
      <c r="L35" s="114">
        <f t="shared" si="15"/>
        <v>0</v>
      </c>
      <c r="M35" s="114">
        <f t="shared" si="15"/>
        <v>0</v>
      </c>
      <c r="N35" s="114">
        <f t="shared" si="15"/>
        <v>0</v>
      </c>
      <c r="O35" s="114">
        <f t="shared" si="15"/>
        <v>0</v>
      </c>
      <c r="P35" s="114">
        <f t="shared" si="15"/>
        <v>0</v>
      </c>
      <c r="Q35" s="114">
        <f t="shared" si="15"/>
        <v>170000</v>
      </c>
      <c r="R35" s="114">
        <f t="shared" si="15"/>
        <v>0</v>
      </c>
      <c r="S35" s="114">
        <f t="shared" si="15"/>
        <v>170000</v>
      </c>
      <c r="T35" s="114">
        <f t="shared" si="15"/>
        <v>0</v>
      </c>
      <c r="U35" s="114">
        <f t="shared" si="15"/>
        <v>0</v>
      </c>
      <c r="V35" s="114">
        <f t="shared" si="15"/>
        <v>0</v>
      </c>
      <c r="W35" s="114">
        <f t="shared" si="15"/>
        <v>0</v>
      </c>
      <c r="X35" s="114">
        <f t="shared" si="15"/>
        <v>0</v>
      </c>
      <c r="Y35" s="114">
        <f t="shared" si="15"/>
        <v>0</v>
      </c>
      <c r="Z35" s="114">
        <f t="shared" si="15"/>
        <v>0</v>
      </c>
      <c r="AA35" s="114">
        <f t="shared" si="15"/>
        <v>0</v>
      </c>
      <c r="AB35" s="114">
        <f t="shared" si="15"/>
        <v>0</v>
      </c>
      <c r="AC35" s="114">
        <f t="shared" si="15"/>
        <v>0</v>
      </c>
      <c r="AD35" s="114">
        <f t="shared" si="15"/>
        <v>0</v>
      </c>
      <c r="AE35" s="114">
        <f t="shared" si="15"/>
        <v>0</v>
      </c>
      <c r="AF35" s="24"/>
    </row>
    <row r="36" spans="1:32" ht="65.25" customHeight="1" x14ac:dyDescent="0.3">
      <c r="A36" s="1076"/>
      <c r="B36" s="1153"/>
      <c r="C36" s="1134"/>
      <c r="D36" s="274" t="s">
        <v>229</v>
      </c>
      <c r="E36" s="23">
        <v>0</v>
      </c>
      <c r="F36" s="23">
        <f>+S36+AE36</f>
        <v>170000</v>
      </c>
      <c r="G36" s="82">
        <f>+E36+F36</f>
        <v>170000</v>
      </c>
      <c r="H36" s="73"/>
      <c r="I36" s="73"/>
      <c r="J36" s="73"/>
      <c r="K36" s="73"/>
      <c r="L36" s="73"/>
      <c r="M36" s="73"/>
      <c r="N36" s="73"/>
      <c r="O36" s="73"/>
      <c r="P36" s="73"/>
      <c r="Q36" s="73">
        <v>170000</v>
      </c>
      <c r="R36" s="73"/>
      <c r="S36" s="57">
        <f>SUM(H36:R36)</f>
        <v>170000</v>
      </c>
      <c r="T36" s="73"/>
      <c r="U36" s="73"/>
      <c r="V36" s="73"/>
      <c r="W36" s="73"/>
      <c r="X36" s="73"/>
      <c r="Y36" s="73"/>
      <c r="Z36" s="73"/>
      <c r="AA36" s="73"/>
      <c r="AB36" s="73"/>
      <c r="AC36" s="73"/>
      <c r="AD36" s="73"/>
      <c r="AE36" s="74"/>
      <c r="AF36" s="24" t="s">
        <v>233</v>
      </c>
    </row>
    <row r="37" spans="1:32" ht="14.4" customHeight="1" x14ac:dyDescent="0.3">
      <c r="A37" s="1076"/>
      <c r="B37" s="1152" t="s">
        <v>10</v>
      </c>
      <c r="C37" s="1132" t="s">
        <v>396</v>
      </c>
      <c r="D37" s="278"/>
      <c r="E37" s="207">
        <f>SUM(E38)</f>
        <v>100000</v>
      </c>
      <c r="F37" s="207">
        <f>SUM(F38)</f>
        <v>0</v>
      </c>
      <c r="G37" s="112">
        <f>SUM(G38)</f>
        <v>100000</v>
      </c>
      <c r="H37" s="112">
        <f t="shared" ref="H37:T37" si="16">SUM(H38)</f>
        <v>0</v>
      </c>
      <c r="I37" s="112">
        <f t="shared" si="16"/>
        <v>0</v>
      </c>
      <c r="J37" s="112">
        <f t="shared" si="16"/>
        <v>0</v>
      </c>
      <c r="K37" s="112">
        <f t="shared" si="16"/>
        <v>0</v>
      </c>
      <c r="L37" s="112">
        <f t="shared" si="16"/>
        <v>100000</v>
      </c>
      <c r="M37" s="112">
        <f t="shared" si="16"/>
        <v>0</v>
      </c>
      <c r="N37" s="112">
        <f t="shared" si="16"/>
        <v>0</v>
      </c>
      <c r="O37" s="112">
        <f t="shared" si="16"/>
        <v>0</v>
      </c>
      <c r="P37" s="112">
        <f t="shared" si="16"/>
        <v>0</v>
      </c>
      <c r="Q37" s="112">
        <f t="shared" si="16"/>
        <v>0</v>
      </c>
      <c r="R37" s="112">
        <f t="shared" si="16"/>
        <v>0</v>
      </c>
      <c r="S37" s="112">
        <f t="shared" si="16"/>
        <v>100000</v>
      </c>
      <c r="T37" s="112">
        <f t="shared" si="16"/>
        <v>0</v>
      </c>
      <c r="U37" s="112">
        <f t="shared" ref="U37:AE37" si="17">SUM(U38)</f>
        <v>0</v>
      </c>
      <c r="V37" s="112">
        <f t="shared" si="17"/>
        <v>0</v>
      </c>
      <c r="W37" s="112">
        <f t="shared" si="17"/>
        <v>0</v>
      </c>
      <c r="X37" s="112">
        <f t="shared" si="17"/>
        <v>0</v>
      </c>
      <c r="Y37" s="112">
        <f t="shared" si="17"/>
        <v>0</v>
      </c>
      <c r="Z37" s="112">
        <f t="shared" si="17"/>
        <v>0</v>
      </c>
      <c r="AA37" s="112">
        <f t="shared" si="17"/>
        <v>0</v>
      </c>
      <c r="AB37" s="112">
        <f t="shared" si="17"/>
        <v>0</v>
      </c>
      <c r="AC37" s="112">
        <f t="shared" si="17"/>
        <v>0</v>
      </c>
      <c r="AD37" s="112">
        <f t="shared" si="17"/>
        <v>0</v>
      </c>
      <c r="AE37" s="112">
        <f t="shared" si="17"/>
        <v>0</v>
      </c>
      <c r="AF37" s="268"/>
    </row>
    <row r="38" spans="1:32" ht="111" customHeight="1" x14ac:dyDescent="0.3">
      <c r="A38" s="1076"/>
      <c r="B38" s="1198"/>
      <c r="C38" s="1133"/>
      <c r="D38" s="274" t="s">
        <v>234</v>
      </c>
      <c r="E38" s="23">
        <f>+S38+AE38</f>
        <v>100000</v>
      </c>
      <c r="F38" s="23">
        <v>0</v>
      </c>
      <c r="G38" s="82">
        <f>+E38+F38</f>
        <v>100000</v>
      </c>
      <c r="H38" s="73"/>
      <c r="I38" s="73"/>
      <c r="J38" s="73"/>
      <c r="K38" s="73"/>
      <c r="L38" s="73">
        <v>100000</v>
      </c>
      <c r="M38" s="569"/>
      <c r="N38" s="569"/>
      <c r="O38" s="73"/>
      <c r="P38" s="73"/>
      <c r="Q38" s="73"/>
      <c r="R38" s="73"/>
      <c r="S38" s="57">
        <f>SUM(H38:R38)</f>
        <v>100000</v>
      </c>
      <c r="T38" s="73"/>
      <c r="U38" s="73"/>
      <c r="V38" s="73"/>
      <c r="W38" s="73"/>
      <c r="X38" s="73"/>
      <c r="Y38" s="73"/>
      <c r="Z38" s="73"/>
      <c r="AA38" s="73"/>
      <c r="AB38" s="73"/>
      <c r="AC38" s="73"/>
      <c r="AD38" s="73"/>
      <c r="AE38" s="74">
        <f>SUM(T38:AD38)</f>
        <v>0</v>
      </c>
      <c r="AF38" s="24" t="s">
        <v>233</v>
      </c>
    </row>
    <row r="39" spans="1:32" s="67" customFormat="1" ht="15.75" customHeight="1" x14ac:dyDescent="0.3">
      <c r="A39" s="1076"/>
      <c r="B39" s="1229" t="s">
        <v>67</v>
      </c>
      <c r="C39" s="1230" t="s">
        <v>397</v>
      </c>
      <c r="D39" s="229"/>
      <c r="E39" s="200">
        <f>SUM(E40:E42)</f>
        <v>0</v>
      </c>
      <c r="F39" s="200">
        <f t="shared" ref="F39:AF39" si="18">SUM(F40:F42)</f>
        <v>1255000</v>
      </c>
      <c r="G39" s="200">
        <f t="shared" si="18"/>
        <v>1255000</v>
      </c>
      <c r="H39" s="200">
        <f t="shared" si="18"/>
        <v>0</v>
      </c>
      <c r="I39" s="200">
        <f t="shared" si="18"/>
        <v>0</v>
      </c>
      <c r="J39" s="200">
        <f t="shared" si="18"/>
        <v>0</v>
      </c>
      <c r="K39" s="200">
        <f t="shared" si="18"/>
        <v>0</v>
      </c>
      <c r="L39" s="200">
        <f t="shared" si="18"/>
        <v>0</v>
      </c>
      <c r="M39" s="200">
        <f t="shared" si="18"/>
        <v>0</v>
      </c>
      <c r="N39" s="200">
        <f t="shared" si="18"/>
        <v>0</v>
      </c>
      <c r="O39" s="200">
        <f t="shared" si="18"/>
        <v>0</v>
      </c>
      <c r="P39" s="200">
        <f t="shared" si="18"/>
        <v>100000</v>
      </c>
      <c r="Q39" s="200">
        <f t="shared" si="18"/>
        <v>0</v>
      </c>
      <c r="R39" s="200">
        <f t="shared" si="18"/>
        <v>250000</v>
      </c>
      <c r="S39" s="200">
        <f t="shared" si="18"/>
        <v>350000</v>
      </c>
      <c r="T39" s="200">
        <f t="shared" si="18"/>
        <v>0</v>
      </c>
      <c r="U39" s="200">
        <f t="shared" si="18"/>
        <v>0</v>
      </c>
      <c r="V39" s="200">
        <f t="shared" si="18"/>
        <v>555000</v>
      </c>
      <c r="W39" s="200">
        <f t="shared" si="18"/>
        <v>350000</v>
      </c>
      <c r="X39" s="200">
        <f t="shared" si="18"/>
        <v>0</v>
      </c>
      <c r="Y39" s="200">
        <f t="shared" si="18"/>
        <v>0</v>
      </c>
      <c r="Z39" s="200">
        <f t="shared" si="18"/>
        <v>0</v>
      </c>
      <c r="AA39" s="200">
        <f t="shared" si="18"/>
        <v>0</v>
      </c>
      <c r="AB39" s="200">
        <f t="shared" si="18"/>
        <v>0</v>
      </c>
      <c r="AC39" s="200">
        <f t="shared" si="18"/>
        <v>0</v>
      </c>
      <c r="AD39" s="200">
        <f t="shared" si="18"/>
        <v>0</v>
      </c>
      <c r="AE39" s="200">
        <f t="shared" si="18"/>
        <v>905000</v>
      </c>
      <c r="AF39" s="200">
        <f t="shared" si="18"/>
        <v>0</v>
      </c>
    </row>
    <row r="40" spans="1:32" ht="51" customHeight="1" x14ac:dyDescent="0.3">
      <c r="A40" s="1076"/>
      <c r="B40" s="1229"/>
      <c r="C40" s="1230"/>
      <c r="D40" s="274" t="s">
        <v>235</v>
      </c>
      <c r="E40" s="23">
        <v>0</v>
      </c>
      <c r="F40" s="23">
        <f>+S40+AE40</f>
        <v>200000</v>
      </c>
      <c r="G40" s="82">
        <f>+E40+F40</f>
        <v>200000</v>
      </c>
      <c r="H40" s="73"/>
      <c r="I40" s="73"/>
      <c r="J40" s="73"/>
      <c r="K40" s="73"/>
      <c r="L40" s="73"/>
      <c r="M40" s="73"/>
      <c r="N40" s="73"/>
      <c r="O40" s="73"/>
      <c r="P40" s="73">
        <v>100000</v>
      </c>
      <c r="Q40" s="73"/>
      <c r="R40" s="73"/>
      <c r="S40" s="57">
        <f>SUM(H40:R40)</f>
        <v>100000</v>
      </c>
      <c r="T40" s="73"/>
      <c r="U40" s="73"/>
      <c r="V40" s="73"/>
      <c r="W40" s="73">
        <v>100000</v>
      </c>
      <c r="X40" s="73"/>
      <c r="Y40" s="73"/>
      <c r="Z40" s="73"/>
      <c r="AA40" s="73"/>
      <c r="AB40" s="73"/>
      <c r="AC40" s="73"/>
      <c r="AD40" s="73"/>
      <c r="AE40" s="74">
        <f>SUM(T40:AD40)</f>
        <v>100000</v>
      </c>
      <c r="AF40" s="24" t="s">
        <v>233</v>
      </c>
    </row>
    <row r="41" spans="1:32" ht="48" customHeight="1" x14ac:dyDescent="0.3">
      <c r="A41" s="1076"/>
      <c r="B41" s="1229"/>
      <c r="C41" s="1230"/>
      <c r="D41" s="274" t="s">
        <v>572</v>
      </c>
      <c r="E41" s="23">
        <v>0</v>
      </c>
      <c r="F41" s="23">
        <f>+S41+AE41</f>
        <v>500000</v>
      </c>
      <c r="G41" s="82">
        <f>+E41+F41</f>
        <v>500000</v>
      </c>
      <c r="H41" s="73"/>
      <c r="I41" s="73"/>
      <c r="J41" s="73"/>
      <c r="K41" s="73"/>
      <c r="L41" s="73"/>
      <c r="M41" s="73"/>
      <c r="N41" s="73"/>
      <c r="O41" s="73"/>
      <c r="P41" s="73"/>
      <c r="Q41" s="73"/>
      <c r="R41" s="73">
        <v>250000</v>
      </c>
      <c r="S41" s="57">
        <f>SUM(H41:R41)</f>
        <v>250000</v>
      </c>
      <c r="T41" s="73"/>
      <c r="U41" s="73"/>
      <c r="V41" s="73"/>
      <c r="W41" s="73">
        <v>250000</v>
      </c>
      <c r="X41" s="73"/>
      <c r="Y41" s="73"/>
      <c r="Z41" s="73"/>
      <c r="AA41" s="73"/>
      <c r="AB41" s="73"/>
      <c r="AC41" s="73"/>
      <c r="AD41" s="73"/>
      <c r="AE41" s="74">
        <f>SUM(T41:AD41)</f>
        <v>250000</v>
      </c>
      <c r="AF41" s="24" t="s">
        <v>233</v>
      </c>
    </row>
    <row r="42" spans="1:32" ht="69" customHeight="1" x14ac:dyDescent="0.3">
      <c r="A42" s="1076"/>
      <c r="B42" s="1229"/>
      <c r="C42" s="1230"/>
      <c r="D42" s="274" t="s">
        <v>236</v>
      </c>
      <c r="E42" s="23">
        <v>0</v>
      </c>
      <c r="F42" s="23">
        <f>+S42+AE42</f>
        <v>555000</v>
      </c>
      <c r="G42" s="82">
        <f>+E42+F42</f>
        <v>555000</v>
      </c>
      <c r="H42" s="73"/>
      <c r="I42" s="73"/>
      <c r="J42" s="73"/>
      <c r="K42" s="73"/>
      <c r="L42" s="73"/>
      <c r="M42" s="73"/>
      <c r="N42" s="73"/>
      <c r="O42" s="73"/>
      <c r="P42" s="73"/>
      <c r="Q42" s="73"/>
      <c r="R42" s="73"/>
      <c r="S42" s="57">
        <f>SUM(H42:R42)</f>
        <v>0</v>
      </c>
      <c r="T42" s="73"/>
      <c r="U42" s="73"/>
      <c r="V42" s="73">
        <v>555000</v>
      </c>
      <c r="W42" s="73"/>
      <c r="X42" s="73"/>
      <c r="Y42" s="73"/>
      <c r="Z42" s="73"/>
      <c r="AA42" s="73"/>
      <c r="AB42" s="73"/>
      <c r="AC42" s="73"/>
      <c r="AD42" s="73"/>
      <c r="AE42" s="74">
        <f>SUM(T42:AD42)</f>
        <v>555000</v>
      </c>
      <c r="AF42" s="24" t="s">
        <v>233</v>
      </c>
    </row>
    <row r="43" spans="1:32" ht="27" customHeight="1" x14ac:dyDescent="0.3">
      <c r="A43" s="1076"/>
      <c r="B43" s="1229" t="s">
        <v>68</v>
      </c>
      <c r="C43" s="1230" t="s">
        <v>589</v>
      </c>
      <c r="D43" s="278"/>
      <c r="E43" s="207">
        <f t="shared" ref="E43:AE43" si="19">SUM(E44:E50)</f>
        <v>796780</v>
      </c>
      <c r="F43" s="207">
        <f t="shared" si="19"/>
        <v>0</v>
      </c>
      <c r="G43" s="112">
        <f t="shared" si="19"/>
        <v>796780</v>
      </c>
      <c r="H43" s="112">
        <f t="shared" si="19"/>
        <v>0</v>
      </c>
      <c r="I43" s="112">
        <f t="shared" si="19"/>
        <v>0</v>
      </c>
      <c r="J43" s="112">
        <f t="shared" si="19"/>
        <v>0</v>
      </c>
      <c r="K43" s="112">
        <f t="shared" si="19"/>
        <v>65000</v>
      </c>
      <c r="L43" s="112">
        <f t="shared" si="19"/>
        <v>15000</v>
      </c>
      <c r="M43" s="112">
        <f t="shared" si="19"/>
        <v>15000</v>
      </c>
      <c r="N43" s="112">
        <f t="shared" si="19"/>
        <v>74330</v>
      </c>
      <c r="O43" s="112">
        <f t="shared" si="19"/>
        <v>0</v>
      </c>
      <c r="P43" s="112">
        <f t="shared" si="19"/>
        <v>0</v>
      </c>
      <c r="Q43" s="112">
        <f t="shared" si="19"/>
        <v>0</v>
      </c>
      <c r="R43" s="112">
        <f t="shared" si="19"/>
        <v>0</v>
      </c>
      <c r="S43" s="112">
        <f t="shared" si="19"/>
        <v>169330</v>
      </c>
      <c r="T43" s="112">
        <f t="shared" si="19"/>
        <v>0</v>
      </c>
      <c r="U43" s="112">
        <f t="shared" si="19"/>
        <v>0</v>
      </c>
      <c r="V43" s="112">
        <f t="shared" si="19"/>
        <v>73150</v>
      </c>
      <c r="W43" s="112">
        <f t="shared" si="19"/>
        <v>0</v>
      </c>
      <c r="X43" s="112">
        <f t="shared" si="19"/>
        <v>64150</v>
      </c>
      <c r="Y43" s="112">
        <f t="shared" si="19"/>
        <v>0</v>
      </c>
      <c r="Z43" s="112">
        <f t="shared" si="19"/>
        <v>154150</v>
      </c>
      <c r="AA43" s="112">
        <f t="shared" si="19"/>
        <v>90000</v>
      </c>
      <c r="AB43" s="112">
        <f t="shared" si="19"/>
        <v>90000</v>
      </c>
      <c r="AC43" s="112">
        <f t="shared" si="19"/>
        <v>90000</v>
      </c>
      <c r="AD43" s="112">
        <f t="shared" si="19"/>
        <v>66000</v>
      </c>
      <c r="AE43" s="112">
        <f t="shared" si="19"/>
        <v>627450</v>
      </c>
      <c r="AF43" s="268"/>
    </row>
    <row r="44" spans="1:32" s="257" customFormat="1" ht="30" customHeight="1" x14ac:dyDescent="0.3">
      <c r="A44" s="1076"/>
      <c r="B44" s="1229"/>
      <c r="C44" s="1230"/>
      <c r="D44" s="276" t="s">
        <v>278</v>
      </c>
      <c r="E44" s="23">
        <f t="shared" ref="E44:E50" si="20">+S44+AE44</f>
        <v>110000</v>
      </c>
      <c r="F44" s="23">
        <v>0</v>
      </c>
      <c r="G44" s="82">
        <f t="shared" ref="G44:G50" si="21">+E44+F44</f>
        <v>110000</v>
      </c>
      <c r="H44" s="252"/>
      <c r="I44" s="252"/>
      <c r="J44" s="252"/>
      <c r="K44" s="252"/>
      <c r="L44" s="252"/>
      <c r="M44" s="252"/>
      <c r="N44" s="252"/>
      <c r="O44" s="252"/>
      <c r="P44" s="252"/>
      <c r="Q44" s="252"/>
      <c r="R44" s="252"/>
      <c r="S44" s="57">
        <f t="shared" ref="S44:S50" si="22">SUM(H44:R44)</f>
        <v>0</v>
      </c>
      <c r="T44" s="252"/>
      <c r="U44" s="252"/>
      <c r="V44" s="252"/>
      <c r="W44" s="252"/>
      <c r="X44" s="252"/>
      <c r="Y44" s="252"/>
      <c r="Z44" s="559">
        <v>22000</v>
      </c>
      <c r="AA44" s="559">
        <v>22000</v>
      </c>
      <c r="AB44" s="559">
        <v>22000</v>
      </c>
      <c r="AC44" s="559">
        <v>22000</v>
      </c>
      <c r="AD44" s="559">
        <v>22000</v>
      </c>
      <c r="AE44" s="74">
        <f t="shared" ref="AE44:AE50" si="23">SUM(T44:AD44)</f>
        <v>110000</v>
      </c>
      <c r="AF44" s="256" t="s">
        <v>185</v>
      </c>
    </row>
    <row r="45" spans="1:32" s="257" customFormat="1" ht="30" customHeight="1" x14ac:dyDescent="0.3">
      <c r="A45" s="1076"/>
      <c r="B45" s="1229"/>
      <c r="C45" s="1230"/>
      <c r="D45" s="276" t="s">
        <v>276</v>
      </c>
      <c r="E45" s="23">
        <f t="shared" si="20"/>
        <v>48000</v>
      </c>
      <c r="F45" s="23">
        <v>0</v>
      </c>
      <c r="G45" s="82">
        <f t="shared" si="21"/>
        <v>48000</v>
      </c>
      <c r="H45" s="252"/>
      <c r="I45" s="252"/>
      <c r="J45" s="252"/>
      <c r="K45" s="252"/>
      <c r="L45" s="252"/>
      <c r="M45" s="252"/>
      <c r="N45" s="252"/>
      <c r="O45" s="252"/>
      <c r="P45" s="252"/>
      <c r="Q45" s="252"/>
      <c r="R45" s="252"/>
      <c r="S45" s="57">
        <f t="shared" si="22"/>
        <v>0</v>
      </c>
      <c r="T45" s="252"/>
      <c r="U45" s="252"/>
      <c r="V45" s="252"/>
      <c r="W45" s="252"/>
      <c r="X45" s="252"/>
      <c r="Y45" s="252"/>
      <c r="Z45" s="559">
        <v>12000</v>
      </c>
      <c r="AA45" s="559">
        <v>12000</v>
      </c>
      <c r="AB45" s="559">
        <v>12000</v>
      </c>
      <c r="AC45" s="559">
        <v>12000</v>
      </c>
      <c r="AD45" s="559"/>
      <c r="AE45" s="74">
        <f t="shared" si="23"/>
        <v>48000</v>
      </c>
      <c r="AF45" s="256" t="s">
        <v>185</v>
      </c>
    </row>
    <row r="46" spans="1:32" s="257" customFormat="1" ht="30" customHeight="1" x14ac:dyDescent="0.3">
      <c r="A46" s="1076"/>
      <c r="B46" s="1229"/>
      <c r="C46" s="1230"/>
      <c r="D46" s="564" t="s">
        <v>277</v>
      </c>
      <c r="E46" s="23">
        <f t="shared" si="20"/>
        <v>110000</v>
      </c>
      <c r="F46" s="23">
        <v>0</v>
      </c>
      <c r="G46" s="82">
        <f t="shared" si="21"/>
        <v>110000</v>
      </c>
      <c r="H46" s="252"/>
      <c r="I46" s="252"/>
      <c r="J46" s="252"/>
      <c r="K46" s="252"/>
      <c r="L46" s="252"/>
      <c r="M46" s="252"/>
      <c r="N46" s="252"/>
      <c r="O46" s="252"/>
      <c r="P46" s="252"/>
      <c r="Q46" s="252"/>
      <c r="R46" s="252"/>
      <c r="S46" s="57">
        <f t="shared" si="22"/>
        <v>0</v>
      </c>
      <c r="T46" s="252"/>
      <c r="U46" s="252"/>
      <c r="V46" s="252"/>
      <c r="W46" s="252"/>
      <c r="X46" s="252"/>
      <c r="Y46" s="252"/>
      <c r="Z46" s="562">
        <v>22000</v>
      </c>
      <c r="AA46" s="562">
        <v>22000</v>
      </c>
      <c r="AB46" s="562">
        <v>22000</v>
      </c>
      <c r="AC46" s="562">
        <v>22000</v>
      </c>
      <c r="AD46" s="562">
        <v>22000</v>
      </c>
      <c r="AE46" s="74">
        <f t="shared" si="23"/>
        <v>110000</v>
      </c>
      <c r="AF46" s="256" t="s">
        <v>185</v>
      </c>
    </row>
    <row r="47" spans="1:32" s="257" customFormat="1" ht="30" customHeight="1" x14ac:dyDescent="0.3">
      <c r="A47" s="1076"/>
      <c r="B47" s="1229"/>
      <c r="C47" s="1230"/>
      <c r="D47" s="564" t="s">
        <v>279</v>
      </c>
      <c r="E47" s="23">
        <f t="shared" si="20"/>
        <v>48000</v>
      </c>
      <c r="F47" s="23">
        <v>0</v>
      </c>
      <c r="G47" s="82">
        <f t="shared" si="21"/>
        <v>48000</v>
      </c>
      <c r="H47" s="252"/>
      <c r="I47" s="252"/>
      <c r="J47" s="252"/>
      <c r="K47" s="252"/>
      <c r="L47" s="252"/>
      <c r="M47" s="252"/>
      <c r="N47" s="252"/>
      <c r="O47" s="252"/>
      <c r="P47" s="252"/>
      <c r="Q47" s="252"/>
      <c r="R47" s="252"/>
      <c r="S47" s="57">
        <f t="shared" si="22"/>
        <v>0</v>
      </c>
      <c r="T47" s="252"/>
      <c r="U47" s="252"/>
      <c r="V47" s="252"/>
      <c r="W47" s="252"/>
      <c r="X47" s="252"/>
      <c r="Y47" s="252"/>
      <c r="Z47" s="562">
        <v>12000</v>
      </c>
      <c r="AA47" s="562">
        <v>12000</v>
      </c>
      <c r="AB47" s="562">
        <v>12000</v>
      </c>
      <c r="AC47" s="562">
        <v>12000</v>
      </c>
      <c r="AD47" s="562"/>
      <c r="AE47" s="74">
        <f t="shared" si="23"/>
        <v>48000</v>
      </c>
      <c r="AF47" s="256" t="s">
        <v>185</v>
      </c>
    </row>
    <row r="48" spans="1:32" s="257" customFormat="1" ht="32.25" customHeight="1" x14ac:dyDescent="0.3">
      <c r="A48" s="1076"/>
      <c r="B48" s="1229"/>
      <c r="C48" s="1230"/>
      <c r="D48" s="561" t="s">
        <v>280</v>
      </c>
      <c r="E48" s="23">
        <f t="shared" si="20"/>
        <v>110000</v>
      </c>
      <c r="F48" s="23">
        <v>0</v>
      </c>
      <c r="G48" s="82">
        <f t="shared" si="21"/>
        <v>110000</v>
      </c>
      <c r="H48" s="252"/>
      <c r="I48" s="252"/>
      <c r="J48" s="252"/>
      <c r="K48" s="252"/>
      <c r="L48" s="252"/>
      <c r="M48" s="252"/>
      <c r="N48" s="252"/>
      <c r="O48" s="252"/>
      <c r="P48" s="252"/>
      <c r="Q48" s="252"/>
      <c r="R48" s="252"/>
      <c r="S48" s="57">
        <f t="shared" si="22"/>
        <v>0</v>
      </c>
      <c r="T48" s="252"/>
      <c r="U48" s="252"/>
      <c r="V48" s="252"/>
      <c r="W48" s="252"/>
      <c r="X48" s="252"/>
      <c r="Y48" s="252"/>
      <c r="Z48" s="557">
        <v>22000</v>
      </c>
      <c r="AA48" s="557">
        <v>22000</v>
      </c>
      <c r="AB48" s="557">
        <v>22000</v>
      </c>
      <c r="AC48" s="557">
        <v>22000</v>
      </c>
      <c r="AD48" s="557">
        <v>22000</v>
      </c>
      <c r="AE48" s="74">
        <f t="shared" si="23"/>
        <v>110000</v>
      </c>
      <c r="AF48" s="256" t="s">
        <v>185</v>
      </c>
    </row>
    <row r="49" spans="1:32" ht="98.25" customHeight="1" x14ac:dyDescent="0.3">
      <c r="A49" s="1076"/>
      <c r="B49" s="1229"/>
      <c r="C49" s="1230"/>
      <c r="D49" s="274" t="s">
        <v>590</v>
      </c>
      <c r="E49" s="23">
        <f t="shared" si="20"/>
        <v>54000</v>
      </c>
      <c r="F49" s="23">
        <v>0</v>
      </c>
      <c r="G49" s="82">
        <f t="shared" si="21"/>
        <v>54000</v>
      </c>
      <c r="H49" s="73"/>
      <c r="I49" s="73"/>
      <c r="J49" s="73"/>
      <c r="K49" s="569">
        <v>15000</v>
      </c>
      <c r="L49" s="569">
        <v>15000</v>
      </c>
      <c r="M49" s="569">
        <v>15000</v>
      </c>
      <c r="N49" s="569"/>
      <c r="O49" s="73"/>
      <c r="P49" s="73"/>
      <c r="Q49" s="73"/>
      <c r="R49" s="73"/>
      <c r="S49" s="57">
        <f t="shared" si="22"/>
        <v>45000</v>
      </c>
      <c r="T49" s="73"/>
      <c r="U49" s="73"/>
      <c r="V49" s="73">
        <v>9000</v>
      </c>
      <c r="W49" s="73"/>
      <c r="X49" s="73"/>
      <c r="Y49" s="73"/>
      <c r="Z49" s="73"/>
      <c r="AA49" s="73"/>
      <c r="AB49" s="73"/>
      <c r="AC49" s="73"/>
      <c r="AD49" s="73"/>
      <c r="AE49" s="74">
        <f t="shared" si="23"/>
        <v>9000</v>
      </c>
      <c r="AF49" s="24" t="s">
        <v>239</v>
      </c>
    </row>
    <row r="50" spans="1:32" ht="66" customHeight="1" x14ac:dyDescent="0.3">
      <c r="A50" s="1076"/>
      <c r="B50" s="1229"/>
      <c r="C50" s="1230"/>
      <c r="D50" s="274" t="s">
        <v>238</v>
      </c>
      <c r="E50" s="23">
        <f t="shared" si="20"/>
        <v>316780</v>
      </c>
      <c r="F50" s="23">
        <v>0</v>
      </c>
      <c r="G50" s="82">
        <f t="shared" si="21"/>
        <v>316780</v>
      </c>
      <c r="H50" s="73"/>
      <c r="I50" s="73"/>
      <c r="J50" s="73"/>
      <c r="K50" s="73">
        <v>50000</v>
      </c>
      <c r="L50" s="73"/>
      <c r="M50" s="73"/>
      <c r="N50" s="569">
        <v>74330</v>
      </c>
      <c r="O50" s="73"/>
      <c r="P50" s="73"/>
      <c r="Q50" s="73"/>
      <c r="R50" s="73"/>
      <c r="S50" s="57">
        <f t="shared" si="22"/>
        <v>124330</v>
      </c>
      <c r="T50" s="73"/>
      <c r="U50" s="73"/>
      <c r="V50" s="73">
        <v>64150</v>
      </c>
      <c r="W50" s="73"/>
      <c r="X50" s="73">
        <v>64150</v>
      </c>
      <c r="Y50" s="73"/>
      <c r="Z50" s="73">
        <v>64150</v>
      </c>
      <c r="AA50" s="73"/>
      <c r="AB50" s="73"/>
      <c r="AC50" s="73"/>
      <c r="AD50" s="73"/>
      <c r="AE50" s="74">
        <f t="shared" si="23"/>
        <v>192450</v>
      </c>
      <c r="AF50" s="24" t="s">
        <v>240</v>
      </c>
    </row>
    <row r="51" spans="1:32" s="67" customFormat="1" ht="21" customHeight="1" x14ac:dyDescent="0.3">
      <c r="A51" s="1076"/>
      <c r="B51" s="1229" t="s">
        <v>69</v>
      </c>
      <c r="C51" s="1230" t="s">
        <v>773</v>
      </c>
      <c r="D51" s="229"/>
      <c r="E51" s="200">
        <f>SUM(E52:E53)</f>
        <v>0</v>
      </c>
      <c r="F51" s="200">
        <f t="shared" ref="F51:AE51" si="24">SUM(F52:F53)</f>
        <v>656813.53</v>
      </c>
      <c r="G51" s="200">
        <f t="shared" si="24"/>
        <v>656813.53</v>
      </c>
      <c r="H51" s="200">
        <f t="shared" si="24"/>
        <v>0</v>
      </c>
      <c r="I51" s="200">
        <f t="shared" si="24"/>
        <v>0</v>
      </c>
      <c r="J51" s="200">
        <f t="shared" si="24"/>
        <v>0</v>
      </c>
      <c r="K51" s="200">
        <f t="shared" si="24"/>
        <v>35000</v>
      </c>
      <c r="L51" s="200">
        <f t="shared" si="24"/>
        <v>0</v>
      </c>
      <c r="M51" s="200">
        <f t="shared" si="24"/>
        <v>0</v>
      </c>
      <c r="N51" s="200">
        <f t="shared" si="24"/>
        <v>0</v>
      </c>
      <c r="O51" s="200">
        <f t="shared" si="24"/>
        <v>190000</v>
      </c>
      <c r="P51" s="200">
        <f t="shared" si="24"/>
        <v>0</v>
      </c>
      <c r="Q51" s="200">
        <f t="shared" si="24"/>
        <v>0</v>
      </c>
      <c r="R51" s="200">
        <f t="shared" si="24"/>
        <v>0</v>
      </c>
      <c r="S51" s="200">
        <f t="shared" si="24"/>
        <v>225000</v>
      </c>
      <c r="T51" s="200">
        <f t="shared" si="24"/>
        <v>0</v>
      </c>
      <c r="U51" s="200">
        <f t="shared" si="24"/>
        <v>256813.53</v>
      </c>
      <c r="V51" s="200">
        <f t="shared" si="24"/>
        <v>0</v>
      </c>
      <c r="W51" s="200">
        <f t="shared" si="24"/>
        <v>0</v>
      </c>
      <c r="X51" s="200">
        <f t="shared" si="24"/>
        <v>125000</v>
      </c>
      <c r="Y51" s="200">
        <f t="shared" si="24"/>
        <v>50000</v>
      </c>
      <c r="Z51" s="200">
        <f t="shared" si="24"/>
        <v>0</v>
      </c>
      <c r="AA51" s="200">
        <f t="shared" si="24"/>
        <v>0</v>
      </c>
      <c r="AB51" s="200">
        <f t="shared" si="24"/>
        <v>0</v>
      </c>
      <c r="AC51" s="200">
        <f t="shared" si="24"/>
        <v>0</v>
      </c>
      <c r="AD51" s="200">
        <f t="shared" si="24"/>
        <v>0</v>
      </c>
      <c r="AE51" s="200">
        <f t="shared" si="24"/>
        <v>431813.53</v>
      </c>
      <c r="AF51" s="429"/>
    </row>
    <row r="52" spans="1:32" ht="41.4" customHeight="1" x14ac:dyDescent="0.3">
      <c r="A52" s="1076"/>
      <c r="B52" s="1229"/>
      <c r="C52" s="1230"/>
      <c r="D52" s="274" t="s">
        <v>237</v>
      </c>
      <c r="E52" s="23">
        <v>0</v>
      </c>
      <c r="F52" s="23">
        <f>+S52+AE52</f>
        <v>506813.53</v>
      </c>
      <c r="G52" s="82">
        <f>+E52+F52</f>
        <v>506813.53</v>
      </c>
      <c r="H52" s="73"/>
      <c r="I52" s="73"/>
      <c r="J52" s="73"/>
      <c r="K52" s="73">
        <v>35000</v>
      </c>
      <c r="L52" s="73"/>
      <c r="M52" s="73"/>
      <c r="N52" s="73"/>
      <c r="O52" s="73">
        <v>90000</v>
      </c>
      <c r="P52" s="73"/>
      <c r="Q52" s="73"/>
      <c r="R52" s="73"/>
      <c r="S52" s="57">
        <f>SUM(H52:R52)</f>
        <v>125000</v>
      </c>
      <c r="T52" s="73"/>
      <c r="U52" s="73">
        <v>256813.53</v>
      </c>
      <c r="V52" s="73"/>
      <c r="W52" s="73"/>
      <c r="X52" s="73">
        <v>125000</v>
      </c>
      <c r="Y52" s="73"/>
      <c r="Z52" s="73"/>
      <c r="AA52" s="73"/>
      <c r="AB52" s="73"/>
      <c r="AC52" s="73"/>
      <c r="AD52" s="73"/>
      <c r="AE52" s="74">
        <f>SUM(T52:AD52)</f>
        <v>381813.53</v>
      </c>
      <c r="AF52" s="24" t="s">
        <v>239</v>
      </c>
    </row>
    <row r="53" spans="1:32" ht="58.5" customHeight="1" x14ac:dyDescent="0.3">
      <c r="A53" s="1077"/>
      <c r="B53" s="1229"/>
      <c r="C53" s="1230"/>
      <c r="D53" s="274" t="s">
        <v>573</v>
      </c>
      <c r="E53" s="23">
        <v>0</v>
      </c>
      <c r="F53" s="23">
        <f>+S53+AE53</f>
        <v>150000</v>
      </c>
      <c r="G53" s="82">
        <f>+E53+F53</f>
        <v>150000</v>
      </c>
      <c r="H53" s="73"/>
      <c r="I53" s="73"/>
      <c r="J53" s="73"/>
      <c r="K53" s="73"/>
      <c r="L53" s="73"/>
      <c r="M53" s="73"/>
      <c r="N53" s="73"/>
      <c r="O53" s="73">
        <v>100000</v>
      </c>
      <c r="P53" s="73"/>
      <c r="Q53" s="73"/>
      <c r="R53" s="73"/>
      <c r="S53" s="57">
        <f>SUM(H53:R53)</f>
        <v>100000</v>
      </c>
      <c r="T53" s="73"/>
      <c r="U53" s="73"/>
      <c r="V53" s="73"/>
      <c r="W53" s="73"/>
      <c r="X53" s="73"/>
      <c r="Y53" s="73">
        <v>50000</v>
      </c>
      <c r="AA53" s="73"/>
      <c r="AB53" s="73"/>
      <c r="AC53" s="73"/>
      <c r="AD53" s="73"/>
      <c r="AE53" s="74">
        <f>SUM(T53:AD53)</f>
        <v>50000</v>
      </c>
      <c r="AF53" s="24" t="s">
        <v>239</v>
      </c>
    </row>
    <row r="54" spans="1:32" s="67" customFormat="1" ht="37.5" customHeight="1" x14ac:dyDescent="0.3">
      <c r="A54" s="282" t="s">
        <v>251</v>
      </c>
      <c r="B54" s="283"/>
      <c r="C54" s="284"/>
      <c r="D54" s="284"/>
      <c r="E54" s="283"/>
      <c r="F54" s="283"/>
      <c r="G54" s="285"/>
      <c r="H54" s="222"/>
      <c r="I54" s="222"/>
      <c r="J54" s="222"/>
      <c r="K54" s="222"/>
      <c r="L54" s="222"/>
      <c r="M54" s="222"/>
      <c r="N54" s="222"/>
      <c r="O54" s="222"/>
      <c r="P54" s="222"/>
      <c r="Q54" s="222"/>
      <c r="R54" s="222"/>
      <c r="S54" s="222"/>
      <c r="T54" s="222"/>
      <c r="U54" s="222"/>
      <c r="V54" s="222"/>
      <c r="W54" s="222"/>
      <c r="X54" s="222"/>
      <c r="Y54" s="222"/>
      <c r="Z54" s="222"/>
      <c r="AA54" s="222"/>
      <c r="AB54" s="222"/>
      <c r="AC54" s="222"/>
      <c r="AD54" s="222"/>
      <c r="AE54" s="222"/>
      <c r="AF54" s="223"/>
    </row>
    <row r="55" spans="1:32" ht="15" customHeight="1" x14ac:dyDescent="0.3">
      <c r="A55" s="1075" t="s">
        <v>354</v>
      </c>
      <c r="B55" s="266"/>
      <c r="C55" s="272"/>
      <c r="D55" s="272"/>
      <c r="E55" s="267">
        <f t="shared" ref="E55:AE55" si="25">+E56+E63+E65+E70+E72</f>
        <v>2470908.6</v>
      </c>
      <c r="F55" s="267">
        <f t="shared" si="25"/>
        <v>355000</v>
      </c>
      <c r="G55" s="267">
        <f t="shared" si="25"/>
        <v>2825908.6</v>
      </c>
      <c r="H55" s="267">
        <f t="shared" si="25"/>
        <v>22000</v>
      </c>
      <c r="I55" s="267">
        <f t="shared" si="25"/>
        <v>22000</v>
      </c>
      <c r="J55" s="267">
        <f t="shared" si="25"/>
        <v>22000</v>
      </c>
      <c r="K55" s="267">
        <f t="shared" si="25"/>
        <v>51150</v>
      </c>
      <c r="L55" s="267">
        <f t="shared" si="25"/>
        <v>120000</v>
      </c>
      <c r="M55" s="267">
        <f t="shared" si="25"/>
        <v>196500</v>
      </c>
      <c r="N55" s="267">
        <f t="shared" si="25"/>
        <v>148000</v>
      </c>
      <c r="O55" s="267">
        <f t="shared" si="25"/>
        <v>340000</v>
      </c>
      <c r="P55" s="267">
        <f t="shared" si="25"/>
        <v>85000</v>
      </c>
      <c r="Q55" s="267">
        <f t="shared" si="25"/>
        <v>335000</v>
      </c>
      <c r="R55" s="267">
        <f t="shared" si="25"/>
        <v>81000</v>
      </c>
      <c r="S55" s="267">
        <f t="shared" si="25"/>
        <v>1422650</v>
      </c>
      <c r="T55" s="267">
        <f t="shared" si="25"/>
        <v>56000</v>
      </c>
      <c r="U55" s="267">
        <f t="shared" si="25"/>
        <v>147500</v>
      </c>
      <c r="V55" s="267">
        <f t="shared" si="25"/>
        <v>341450</v>
      </c>
      <c r="W55" s="267">
        <f t="shared" si="25"/>
        <v>225458</v>
      </c>
      <c r="X55" s="267">
        <f t="shared" si="25"/>
        <v>59000</v>
      </c>
      <c r="Y55" s="267">
        <f t="shared" si="25"/>
        <v>165850.6</v>
      </c>
      <c r="Z55" s="267">
        <f t="shared" si="25"/>
        <v>84000</v>
      </c>
      <c r="AA55" s="267">
        <f t="shared" si="25"/>
        <v>81000</v>
      </c>
      <c r="AB55" s="267">
        <f t="shared" si="25"/>
        <v>81000</v>
      </c>
      <c r="AC55" s="267">
        <f t="shared" si="25"/>
        <v>81000</v>
      </c>
      <c r="AD55" s="267">
        <f t="shared" si="25"/>
        <v>81000</v>
      </c>
      <c r="AE55" s="267">
        <f t="shared" si="25"/>
        <v>1403258.6</v>
      </c>
      <c r="AF55" s="266"/>
    </row>
    <row r="56" spans="1:32" x14ac:dyDescent="0.3">
      <c r="A56" s="1076"/>
      <c r="B56" s="1154" t="s">
        <v>2</v>
      </c>
      <c r="C56" s="1135" t="s">
        <v>244</v>
      </c>
      <c r="D56" s="278"/>
      <c r="E56" s="112">
        <f t="shared" ref="E56:AE56" si="26">SUM(E57:E62)</f>
        <v>751000</v>
      </c>
      <c r="F56" s="112">
        <f t="shared" si="26"/>
        <v>0</v>
      </c>
      <c r="G56" s="112">
        <f t="shared" si="26"/>
        <v>751000</v>
      </c>
      <c r="H56" s="112">
        <f t="shared" si="26"/>
        <v>22000</v>
      </c>
      <c r="I56" s="112">
        <f t="shared" si="26"/>
        <v>22000</v>
      </c>
      <c r="J56" s="112">
        <f t="shared" si="26"/>
        <v>22000</v>
      </c>
      <c r="K56" s="112">
        <f t="shared" si="26"/>
        <v>37000</v>
      </c>
      <c r="L56" s="112">
        <f t="shared" si="26"/>
        <v>48000</v>
      </c>
      <c r="M56" s="112">
        <f t="shared" si="26"/>
        <v>48000</v>
      </c>
      <c r="N56" s="112">
        <f t="shared" si="26"/>
        <v>48000</v>
      </c>
      <c r="O56" s="112">
        <f t="shared" si="26"/>
        <v>85000</v>
      </c>
      <c r="P56" s="112">
        <f t="shared" si="26"/>
        <v>85000</v>
      </c>
      <c r="Q56" s="112">
        <f t="shared" si="26"/>
        <v>85000</v>
      </c>
      <c r="R56" s="112">
        <f t="shared" si="26"/>
        <v>81000</v>
      </c>
      <c r="S56" s="112">
        <f t="shared" si="26"/>
        <v>583000</v>
      </c>
      <c r="T56" s="112">
        <f t="shared" si="26"/>
        <v>0</v>
      </c>
      <c r="U56" s="112">
        <f t="shared" si="26"/>
        <v>3000</v>
      </c>
      <c r="V56" s="112">
        <f t="shared" si="26"/>
        <v>3000</v>
      </c>
      <c r="W56" s="112">
        <f t="shared" si="26"/>
        <v>3000</v>
      </c>
      <c r="X56" s="112">
        <f t="shared" si="26"/>
        <v>3000</v>
      </c>
      <c r="Y56" s="112">
        <f t="shared" si="26"/>
        <v>28000</v>
      </c>
      <c r="Z56" s="112">
        <f t="shared" si="26"/>
        <v>28000</v>
      </c>
      <c r="AA56" s="112">
        <f t="shared" si="26"/>
        <v>25000</v>
      </c>
      <c r="AB56" s="112">
        <f t="shared" si="26"/>
        <v>25000</v>
      </c>
      <c r="AC56" s="112">
        <f t="shared" si="26"/>
        <v>25000</v>
      </c>
      <c r="AD56" s="112">
        <f t="shared" si="26"/>
        <v>25000</v>
      </c>
      <c r="AE56" s="112">
        <f t="shared" si="26"/>
        <v>168000</v>
      </c>
      <c r="AF56" s="268"/>
    </row>
    <row r="57" spans="1:32" s="257" customFormat="1" ht="30" customHeight="1" x14ac:dyDescent="0.3">
      <c r="A57" s="1076"/>
      <c r="B57" s="1155"/>
      <c r="C57" s="1136"/>
      <c r="D57" s="276" t="s">
        <v>283</v>
      </c>
      <c r="E57" s="23">
        <f t="shared" ref="E57:E62" si="27">+S57+AE57</f>
        <v>250000</v>
      </c>
      <c r="F57" s="23">
        <v>0</v>
      </c>
      <c r="G57" s="82">
        <f t="shared" ref="G57:G62" si="28">+E57+F57</f>
        <v>250000</v>
      </c>
      <c r="H57" s="252"/>
      <c r="I57" s="252"/>
      <c r="J57" s="252"/>
      <c r="K57" s="252"/>
      <c r="L57" s="252"/>
      <c r="M57" s="252"/>
      <c r="N57" s="252"/>
      <c r="O57" s="556">
        <v>25000</v>
      </c>
      <c r="P57" s="556">
        <v>25000</v>
      </c>
      <c r="Q57" s="556">
        <v>25000</v>
      </c>
      <c r="R57" s="556">
        <v>25000</v>
      </c>
      <c r="S57" s="57">
        <f t="shared" ref="S57:S62" si="29">SUM(H57:R57)</f>
        <v>100000</v>
      </c>
      <c r="T57" s="252"/>
      <c r="U57" s="252"/>
      <c r="V57" s="252"/>
      <c r="W57" s="252"/>
      <c r="X57" s="252"/>
      <c r="Y57" s="556">
        <v>25000</v>
      </c>
      <c r="Z57" s="556">
        <v>25000</v>
      </c>
      <c r="AA57" s="556">
        <v>25000</v>
      </c>
      <c r="AB57" s="556">
        <v>25000</v>
      </c>
      <c r="AC57" s="556">
        <v>25000</v>
      </c>
      <c r="AD57" s="556">
        <v>25000</v>
      </c>
      <c r="AE57" s="74">
        <f t="shared" ref="AE57:AE62" si="30">SUM(T57:AD57)</f>
        <v>150000</v>
      </c>
      <c r="AF57" s="24" t="s">
        <v>185</v>
      </c>
    </row>
    <row r="58" spans="1:32" s="257" customFormat="1" ht="30" customHeight="1" x14ac:dyDescent="0.3">
      <c r="A58" s="1076"/>
      <c r="B58" s="1155"/>
      <c r="C58" s="1136"/>
      <c r="D58" s="276" t="s">
        <v>275</v>
      </c>
      <c r="E58" s="23">
        <f t="shared" si="27"/>
        <v>44000</v>
      </c>
      <c r="F58" s="23">
        <v>0</v>
      </c>
      <c r="G58" s="82">
        <f t="shared" si="28"/>
        <v>44000</v>
      </c>
      <c r="H58" s="559">
        <v>22000</v>
      </c>
      <c r="I58" s="559">
        <v>22000</v>
      </c>
      <c r="J58" s="252"/>
      <c r="K58" s="252"/>
      <c r="L58" s="252"/>
      <c r="M58" s="252"/>
      <c r="N58" s="252"/>
      <c r="O58" s="252"/>
      <c r="P58" s="252"/>
      <c r="Q58" s="252"/>
      <c r="R58" s="252"/>
      <c r="S58" s="57">
        <f t="shared" si="29"/>
        <v>44000</v>
      </c>
      <c r="T58" s="252"/>
      <c r="U58" s="252"/>
      <c r="V58" s="252"/>
      <c r="W58" s="252"/>
      <c r="X58" s="252"/>
      <c r="Y58" s="252"/>
      <c r="Z58" s="252"/>
      <c r="AA58" s="252"/>
      <c r="AB58" s="252"/>
      <c r="AC58" s="252"/>
      <c r="AD58" s="252"/>
      <c r="AE58" s="74">
        <f t="shared" si="30"/>
        <v>0</v>
      </c>
      <c r="AF58" s="24" t="s">
        <v>185</v>
      </c>
    </row>
    <row r="59" spans="1:32" s="257" customFormat="1" ht="30" customHeight="1" x14ac:dyDescent="0.3">
      <c r="A59" s="1076"/>
      <c r="B59" s="1155"/>
      <c r="C59" s="1136"/>
      <c r="D59" s="276" t="s">
        <v>278</v>
      </c>
      <c r="E59" s="23">
        <f t="shared" si="27"/>
        <v>198000</v>
      </c>
      <c r="F59" s="23">
        <v>0</v>
      </c>
      <c r="G59" s="82">
        <f t="shared" si="28"/>
        <v>198000</v>
      </c>
      <c r="H59" s="252"/>
      <c r="I59" s="252"/>
      <c r="J59" s="559">
        <v>22000</v>
      </c>
      <c r="K59" s="559">
        <v>22000</v>
      </c>
      <c r="L59" s="559">
        <v>22000</v>
      </c>
      <c r="M59" s="559">
        <v>22000</v>
      </c>
      <c r="N59" s="559">
        <v>22000</v>
      </c>
      <c r="O59" s="559">
        <v>22000</v>
      </c>
      <c r="P59" s="559">
        <v>22000</v>
      </c>
      <c r="Q59" s="559">
        <v>22000</v>
      </c>
      <c r="R59" s="559">
        <v>22000</v>
      </c>
      <c r="S59" s="57">
        <f t="shared" si="29"/>
        <v>198000</v>
      </c>
      <c r="T59" s="252"/>
      <c r="U59" s="252"/>
      <c r="V59" s="252"/>
      <c r="W59" s="252"/>
      <c r="X59" s="252"/>
      <c r="Y59" s="252"/>
      <c r="Z59" s="252"/>
      <c r="AA59" s="252"/>
      <c r="AB59" s="252"/>
      <c r="AC59" s="252"/>
      <c r="AD59" s="252"/>
      <c r="AE59" s="74">
        <f t="shared" si="30"/>
        <v>0</v>
      </c>
      <c r="AF59" s="24" t="s">
        <v>185</v>
      </c>
    </row>
    <row r="60" spans="1:32" s="257" customFormat="1" ht="30" customHeight="1" x14ac:dyDescent="0.3">
      <c r="A60" s="1076"/>
      <c r="B60" s="1155"/>
      <c r="C60" s="1136"/>
      <c r="D60" s="564" t="s">
        <v>277</v>
      </c>
      <c r="E60" s="23">
        <f t="shared" si="27"/>
        <v>165000</v>
      </c>
      <c r="F60" s="23">
        <v>0</v>
      </c>
      <c r="G60" s="82">
        <f t="shared" si="28"/>
        <v>165000</v>
      </c>
      <c r="H60" s="252"/>
      <c r="I60" s="252"/>
      <c r="J60" s="562"/>
      <c r="K60" s="562">
        <v>11000</v>
      </c>
      <c r="L60" s="562">
        <v>22000</v>
      </c>
      <c r="M60" s="562">
        <v>22000</v>
      </c>
      <c r="N60" s="562">
        <v>22000</v>
      </c>
      <c r="O60" s="562">
        <v>22000</v>
      </c>
      <c r="P60" s="562">
        <v>22000</v>
      </c>
      <c r="Q60" s="562">
        <v>22000</v>
      </c>
      <c r="R60" s="562">
        <v>22000</v>
      </c>
      <c r="S60" s="57">
        <f t="shared" si="29"/>
        <v>165000</v>
      </c>
      <c r="T60" s="252"/>
      <c r="U60" s="252"/>
      <c r="V60" s="252"/>
      <c r="W60" s="252"/>
      <c r="X60" s="252"/>
      <c r="Y60" s="252"/>
      <c r="Z60" s="252"/>
      <c r="AA60" s="252"/>
      <c r="AB60" s="252"/>
      <c r="AC60" s="252"/>
      <c r="AD60" s="252"/>
      <c r="AE60" s="74">
        <f t="shared" si="30"/>
        <v>0</v>
      </c>
      <c r="AF60" s="24" t="s">
        <v>185</v>
      </c>
    </row>
    <row r="61" spans="1:32" s="257" customFormat="1" ht="30" customHeight="1" x14ac:dyDescent="0.3">
      <c r="A61" s="1076"/>
      <c r="B61" s="1155"/>
      <c r="C61" s="1136"/>
      <c r="D61" s="561" t="s">
        <v>280</v>
      </c>
      <c r="E61" s="23">
        <f t="shared" si="27"/>
        <v>48000</v>
      </c>
      <c r="F61" s="23">
        <v>0</v>
      </c>
      <c r="G61" s="82">
        <f t="shared" si="28"/>
        <v>48000</v>
      </c>
      <c r="H61" s="252"/>
      <c r="I61" s="252"/>
      <c r="J61" s="557"/>
      <c r="K61" s="557"/>
      <c r="L61" s="557"/>
      <c r="M61" s="557"/>
      <c r="N61" s="557"/>
      <c r="O61" s="557">
        <v>12000</v>
      </c>
      <c r="P61" s="557">
        <v>12000</v>
      </c>
      <c r="Q61" s="557">
        <v>12000</v>
      </c>
      <c r="R61" s="557">
        <v>12000</v>
      </c>
      <c r="S61" s="57">
        <f t="shared" si="29"/>
        <v>48000</v>
      </c>
      <c r="T61" s="252"/>
      <c r="U61" s="252"/>
      <c r="V61" s="252"/>
      <c r="W61" s="252"/>
      <c r="X61" s="252"/>
      <c r="Y61" s="252"/>
      <c r="Z61" s="252"/>
      <c r="AA61" s="252"/>
      <c r="AB61" s="252"/>
      <c r="AC61" s="252"/>
      <c r="AD61" s="252"/>
      <c r="AE61" s="74">
        <f t="shared" si="30"/>
        <v>0</v>
      </c>
      <c r="AF61" s="24" t="s">
        <v>185</v>
      </c>
    </row>
    <row r="62" spans="1:32" ht="60" customHeight="1" x14ac:dyDescent="0.3">
      <c r="A62" s="1076"/>
      <c r="B62" s="1156"/>
      <c r="C62" s="1137"/>
      <c r="D62" s="273" t="s">
        <v>227</v>
      </c>
      <c r="E62" s="23">
        <f t="shared" si="27"/>
        <v>46000</v>
      </c>
      <c r="F62" s="23">
        <v>0</v>
      </c>
      <c r="G62" s="82">
        <f t="shared" si="28"/>
        <v>46000</v>
      </c>
      <c r="H62" s="73"/>
      <c r="I62" s="73"/>
      <c r="J62" s="73"/>
      <c r="K62" s="73">
        <v>4000</v>
      </c>
      <c r="L62" s="73">
        <v>4000</v>
      </c>
      <c r="M62" s="73">
        <v>4000</v>
      </c>
      <c r="N62" s="569">
        <v>4000</v>
      </c>
      <c r="O62" s="73">
        <v>4000</v>
      </c>
      <c r="P62" s="73">
        <v>4000</v>
      </c>
      <c r="Q62" s="73">
        <v>4000</v>
      </c>
      <c r="R62" s="73"/>
      <c r="S62" s="57">
        <f t="shared" si="29"/>
        <v>28000</v>
      </c>
      <c r="T62" s="73"/>
      <c r="U62" s="73">
        <v>3000</v>
      </c>
      <c r="V62" s="73">
        <v>3000</v>
      </c>
      <c r="W62" s="73">
        <v>3000</v>
      </c>
      <c r="X62" s="73">
        <v>3000</v>
      </c>
      <c r="Y62" s="73">
        <v>3000</v>
      </c>
      <c r="Z62" s="73">
        <v>3000</v>
      </c>
      <c r="AA62" s="73"/>
      <c r="AB62" s="73"/>
      <c r="AC62" s="73"/>
      <c r="AD62" s="73"/>
      <c r="AE62" s="74">
        <f t="shared" si="30"/>
        <v>18000</v>
      </c>
      <c r="AF62" s="24" t="s">
        <v>185</v>
      </c>
    </row>
    <row r="63" spans="1:32" ht="17.25" customHeight="1" x14ac:dyDescent="0.3">
      <c r="A63" s="1076"/>
      <c r="B63" s="1227" t="s">
        <v>3</v>
      </c>
      <c r="C63" s="1228" t="s">
        <v>399</v>
      </c>
      <c r="D63" s="279"/>
      <c r="E63" s="207">
        <f>SUM(E64)</f>
        <v>0</v>
      </c>
      <c r="F63" s="207">
        <f>SUM(F64)</f>
        <v>155000</v>
      </c>
      <c r="G63" s="112">
        <f>SUM(G64)</f>
        <v>155000</v>
      </c>
      <c r="H63" s="112">
        <f t="shared" ref="H63:AE63" si="31">SUM(H64)</f>
        <v>0</v>
      </c>
      <c r="I63" s="112">
        <f t="shared" si="31"/>
        <v>0</v>
      </c>
      <c r="J63" s="112">
        <f t="shared" si="31"/>
        <v>0</v>
      </c>
      <c r="K63" s="112">
        <f t="shared" si="31"/>
        <v>0</v>
      </c>
      <c r="L63" s="112">
        <f t="shared" si="31"/>
        <v>0</v>
      </c>
      <c r="M63" s="112">
        <f t="shared" si="31"/>
        <v>0</v>
      </c>
      <c r="N63" s="112">
        <f t="shared" si="31"/>
        <v>0</v>
      </c>
      <c r="O63" s="112">
        <f t="shared" si="31"/>
        <v>155000</v>
      </c>
      <c r="P63" s="112">
        <f t="shared" si="31"/>
        <v>0</v>
      </c>
      <c r="Q63" s="112">
        <f t="shared" si="31"/>
        <v>0</v>
      </c>
      <c r="R63" s="112">
        <f t="shared" si="31"/>
        <v>0</v>
      </c>
      <c r="S63" s="112">
        <f t="shared" si="31"/>
        <v>155000</v>
      </c>
      <c r="T63" s="112">
        <f t="shared" si="31"/>
        <v>0</v>
      </c>
      <c r="U63" s="112">
        <f t="shared" si="31"/>
        <v>0</v>
      </c>
      <c r="V63" s="112">
        <f t="shared" si="31"/>
        <v>0</v>
      </c>
      <c r="W63" s="112">
        <f t="shared" si="31"/>
        <v>0</v>
      </c>
      <c r="X63" s="112">
        <f t="shared" si="31"/>
        <v>0</v>
      </c>
      <c r="Y63" s="112">
        <f t="shared" si="31"/>
        <v>0</v>
      </c>
      <c r="Z63" s="112">
        <f t="shared" si="31"/>
        <v>0</v>
      </c>
      <c r="AA63" s="112">
        <f t="shared" si="31"/>
        <v>0</v>
      </c>
      <c r="AB63" s="112">
        <f t="shared" si="31"/>
        <v>0</v>
      </c>
      <c r="AC63" s="112">
        <f t="shared" si="31"/>
        <v>0</v>
      </c>
      <c r="AD63" s="112">
        <f t="shared" si="31"/>
        <v>0</v>
      </c>
      <c r="AE63" s="112">
        <f t="shared" si="31"/>
        <v>0</v>
      </c>
      <c r="AF63" s="268"/>
    </row>
    <row r="64" spans="1:32" ht="107.25" customHeight="1" x14ac:dyDescent="0.3">
      <c r="A64" s="1076"/>
      <c r="B64" s="1227"/>
      <c r="C64" s="1228"/>
      <c r="D64" s="274" t="s">
        <v>241</v>
      </c>
      <c r="E64" s="23">
        <v>0</v>
      </c>
      <c r="F64" s="23">
        <f>+S64+AE64</f>
        <v>155000</v>
      </c>
      <c r="G64" s="82">
        <f>+E64+F64</f>
        <v>155000</v>
      </c>
      <c r="H64" s="73"/>
      <c r="I64" s="73"/>
      <c r="J64" s="73"/>
      <c r="K64" s="73"/>
      <c r="L64" s="73"/>
      <c r="M64" s="73"/>
      <c r="N64" s="73"/>
      <c r="O64" s="73">
        <v>155000</v>
      </c>
      <c r="P64" s="73"/>
      <c r="Q64" s="73"/>
      <c r="R64" s="73"/>
      <c r="S64" s="57">
        <f>SUM(H64:R64)</f>
        <v>155000</v>
      </c>
      <c r="T64" s="73"/>
      <c r="U64" s="73"/>
      <c r="V64" s="73"/>
      <c r="W64" s="73"/>
      <c r="X64" s="73"/>
      <c r="Y64" s="73"/>
      <c r="Z64" s="73"/>
      <c r="AA64" s="73"/>
      <c r="AB64" s="73"/>
      <c r="AC64" s="73"/>
      <c r="AD64" s="73"/>
      <c r="AE64" s="74">
        <f>SUM(T64:AD64)</f>
        <v>0</v>
      </c>
      <c r="AF64" s="24" t="s">
        <v>232</v>
      </c>
    </row>
    <row r="65" spans="1:32" s="67" customFormat="1" ht="21" customHeight="1" x14ac:dyDescent="0.3">
      <c r="A65" s="1076"/>
      <c r="B65" s="1227" t="s">
        <v>4</v>
      </c>
      <c r="C65" s="1228" t="s">
        <v>552</v>
      </c>
      <c r="D65" s="229"/>
      <c r="E65" s="200">
        <f t="shared" ref="E65:AF65" si="32">SUM(E66:E69)</f>
        <v>645000</v>
      </c>
      <c r="F65" s="200">
        <f t="shared" si="32"/>
        <v>0</v>
      </c>
      <c r="G65" s="200">
        <f t="shared" si="32"/>
        <v>645000</v>
      </c>
      <c r="H65" s="200">
        <f t="shared" si="32"/>
        <v>0</v>
      </c>
      <c r="I65" s="200">
        <f t="shared" si="32"/>
        <v>0</v>
      </c>
      <c r="J65" s="200">
        <f t="shared" si="32"/>
        <v>0</v>
      </c>
      <c r="K65" s="200">
        <f t="shared" si="32"/>
        <v>0</v>
      </c>
      <c r="L65" s="200">
        <f t="shared" si="32"/>
        <v>72000</v>
      </c>
      <c r="M65" s="200">
        <f t="shared" si="32"/>
        <v>148500</v>
      </c>
      <c r="N65" s="200">
        <f t="shared" si="32"/>
        <v>0</v>
      </c>
      <c r="O65" s="200">
        <f t="shared" si="32"/>
        <v>0</v>
      </c>
      <c r="P65" s="200">
        <f t="shared" si="32"/>
        <v>0</v>
      </c>
      <c r="Q65" s="200">
        <f t="shared" si="32"/>
        <v>0</v>
      </c>
      <c r="R65" s="200">
        <f t="shared" si="32"/>
        <v>0</v>
      </c>
      <c r="S65" s="200">
        <f t="shared" si="32"/>
        <v>220500</v>
      </c>
      <c r="T65" s="200">
        <f t="shared" si="32"/>
        <v>56000</v>
      </c>
      <c r="U65" s="200">
        <f t="shared" si="32"/>
        <v>144500</v>
      </c>
      <c r="V65" s="200">
        <f t="shared" si="32"/>
        <v>56000</v>
      </c>
      <c r="W65" s="200">
        <f t="shared" si="32"/>
        <v>56000</v>
      </c>
      <c r="X65" s="200">
        <f t="shared" si="32"/>
        <v>56000</v>
      </c>
      <c r="Y65" s="200">
        <f t="shared" si="32"/>
        <v>56000</v>
      </c>
      <c r="Z65" s="200">
        <f t="shared" si="32"/>
        <v>0</v>
      </c>
      <c r="AA65" s="200">
        <f t="shared" si="32"/>
        <v>0</v>
      </c>
      <c r="AB65" s="200">
        <f t="shared" si="32"/>
        <v>0</v>
      </c>
      <c r="AC65" s="200">
        <f t="shared" si="32"/>
        <v>0</v>
      </c>
      <c r="AD65" s="200">
        <f t="shared" si="32"/>
        <v>0</v>
      </c>
      <c r="AE65" s="200">
        <f t="shared" si="32"/>
        <v>424500</v>
      </c>
      <c r="AF65" s="200">
        <f t="shared" si="32"/>
        <v>0</v>
      </c>
    </row>
    <row r="66" spans="1:32" ht="142.5" customHeight="1" x14ac:dyDescent="0.3">
      <c r="A66" s="1076"/>
      <c r="B66" s="1227"/>
      <c r="C66" s="1228"/>
      <c r="D66" s="274" t="s">
        <v>242</v>
      </c>
      <c r="E66" s="23">
        <f>+S66+AE66</f>
        <v>309000</v>
      </c>
      <c r="F66" s="23">
        <v>0</v>
      </c>
      <c r="G66" s="82">
        <f>+E66+F66</f>
        <v>309000</v>
      </c>
      <c r="H66" s="73"/>
      <c r="I66" s="73"/>
      <c r="J66" s="73"/>
      <c r="K66" s="73"/>
      <c r="L66" s="662">
        <v>72000</v>
      </c>
      <c r="M66" s="569">
        <f>+(11000*3)*4.5</f>
        <v>148500</v>
      </c>
      <c r="N66" s="73"/>
      <c r="O66" s="73"/>
      <c r="P66" s="73"/>
      <c r="Q66" s="73"/>
      <c r="R66" s="73"/>
      <c r="S66" s="57">
        <f>SUM(H66:R66)</f>
        <v>220500</v>
      </c>
      <c r="T66" s="73"/>
      <c r="U66" s="73">
        <v>88500</v>
      </c>
      <c r="V66" s="73"/>
      <c r="W66" s="73"/>
      <c r="X66" s="73"/>
      <c r="Y66" s="73"/>
      <c r="Z66" s="73"/>
      <c r="AA66" s="73"/>
      <c r="AB66" s="73"/>
      <c r="AC66" s="73"/>
      <c r="AD66" s="73"/>
      <c r="AE66" s="74">
        <f>SUM(T66:AD66)</f>
        <v>88500</v>
      </c>
      <c r="AF66" s="24" t="s">
        <v>232</v>
      </c>
    </row>
    <row r="67" spans="1:32" s="257" customFormat="1" ht="30" customHeight="1" x14ac:dyDescent="0.3">
      <c r="A67" s="1076"/>
      <c r="B67" s="1227"/>
      <c r="C67" s="1228"/>
      <c r="D67" s="276" t="s">
        <v>278</v>
      </c>
      <c r="E67" s="23">
        <f>+S67+AE67</f>
        <v>132000</v>
      </c>
      <c r="F67" s="23">
        <v>0</v>
      </c>
      <c r="G67" s="82">
        <f>+E67+F67</f>
        <v>132000</v>
      </c>
      <c r="H67" s="252"/>
      <c r="I67" s="252"/>
      <c r="J67" s="252"/>
      <c r="K67" s="252"/>
      <c r="L67" s="252"/>
      <c r="M67" s="252"/>
      <c r="N67" s="252"/>
      <c r="O67" s="252"/>
      <c r="P67" s="252"/>
      <c r="Q67" s="252"/>
      <c r="R67" s="252"/>
      <c r="S67" s="57">
        <f>SUM(H67:R67)</f>
        <v>0</v>
      </c>
      <c r="T67" s="559">
        <v>22000</v>
      </c>
      <c r="U67" s="559">
        <v>22000</v>
      </c>
      <c r="V67" s="559">
        <v>22000</v>
      </c>
      <c r="W67" s="559">
        <v>22000</v>
      </c>
      <c r="X67" s="559">
        <v>22000</v>
      </c>
      <c r="Y67" s="559">
        <v>22000</v>
      </c>
      <c r="Z67" s="252"/>
      <c r="AA67" s="252"/>
      <c r="AB67" s="252"/>
      <c r="AC67" s="252"/>
      <c r="AD67" s="252"/>
      <c r="AE67" s="74">
        <f>SUM(T67:AD67)</f>
        <v>132000</v>
      </c>
      <c r="AF67" s="256" t="s">
        <v>185</v>
      </c>
    </row>
    <row r="68" spans="1:32" s="257" customFormat="1" ht="30" customHeight="1" x14ac:dyDescent="0.3">
      <c r="A68" s="1076"/>
      <c r="B68" s="1227"/>
      <c r="C68" s="1228"/>
      <c r="D68" s="564" t="s">
        <v>277</v>
      </c>
      <c r="E68" s="23">
        <f>+S68+AE68</f>
        <v>132000</v>
      </c>
      <c r="F68" s="23">
        <v>0</v>
      </c>
      <c r="G68" s="82">
        <f>+E68+F68</f>
        <v>132000</v>
      </c>
      <c r="H68" s="252"/>
      <c r="I68" s="252"/>
      <c r="J68" s="252"/>
      <c r="K68" s="252"/>
      <c r="L68" s="252"/>
      <c r="M68" s="252"/>
      <c r="N68" s="252"/>
      <c r="O68" s="252"/>
      <c r="P68" s="252"/>
      <c r="Q68" s="252"/>
      <c r="R68" s="252"/>
      <c r="S68" s="57">
        <f>SUM(H68:R68)</f>
        <v>0</v>
      </c>
      <c r="T68" s="562">
        <v>22000</v>
      </c>
      <c r="U68" s="562">
        <v>22000</v>
      </c>
      <c r="V68" s="562">
        <v>22000</v>
      </c>
      <c r="W68" s="562">
        <v>22000</v>
      </c>
      <c r="X68" s="562">
        <v>22000</v>
      </c>
      <c r="Y68" s="562">
        <v>22000</v>
      </c>
      <c r="Z68" s="252"/>
      <c r="AA68" s="252"/>
      <c r="AB68" s="252"/>
      <c r="AC68" s="252"/>
      <c r="AD68" s="252"/>
      <c r="AE68" s="74">
        <f>SUM(T68:AD68)</f>
        <v>132000</v>
      </c>
      <c r="AF68" s="256" t="s">
        <v>185</v>
      </c>
    </row>
    <row r="69" spans="1:32" s="257" customFormat="1" ht="30" customHeight="1" x14ac:dyDescent="0.3">
      <c r="A69" s="1076"/>
      <c r="B69" s="1227"/>
      <c r="C69" s="1228"/>
      <c r="D69" s="561" t="s">
        <v>280</v>
      </c>
      <c r="E69" s="23">
        <f>+S69+AE69</f>
        <v>72000</v>
      </c>
      <c r="F69" s="23">
        <v>0</v>
      </c>
      <c r="G69" s="82">
        <f>+E69+F69</f>
        <v>72000</v>
      </c>
      <c r="H69" s="252"/>
      <c r="I69" s="252"/>
      <c r="J69" s="252"/>
      <c r="K69" s="252"/>
      <c r="L69" s="252"/>
      <c r="M69" s="252"/>
      <c r="N69" s="252"/>
      <c r="O69" s="252"/>
      <c r="P69" s="252"/>
      <c r="Q69" s="252"/>
      <c r="R69" s="252"/>
      <c r="S69" s="57">
        <f>SUM(H69:R69)</f>
        <v>0</v>
      </c>
      <c r="T69" s="557">
        <v>12000</v>
      </c>
      <c r="U69" s="557">
        <v>12000</v>
      </c>
      <c r="V69" s="557">
        <v>12000</v>
      </c>
      <c r="W69" s="557">
        <v>12000</v>
      </c>
      <c r="X69" s="557">
        <v>12000</v>
      </c>
      <c r="Y69" s="557">
        <v>12000</v>
      </c>
      <c r="Z69" s="252"/>
      <c r="AA69" s="252"/>
      <c r="AB69" s="252"/>
      <c r="AC69" s="252"/>
      <c r="AD69" s="252"/>
      <c r="AE69" s="74">
        <f>SUM(T69:AD69)</f>
        <v>72000</v>
      </c>
      <c r="AF69" s="256" t="s">
        <v>185</v>
      </c>
    </row>
    <row r="70" spans="1:32" ht="16.5" customHeight="1" x14ac:dyDescent="0.3">
      <c r="A70" s="1076"/>
      <c r="B70" s="1229" t="s">
        <v>8</v>
      </c>
      <c r="C70" s="1230" t="s">
        <v>243</v>
      </c>
      <c r="D70" s="279"/>
      <c r="E70" s="112">
        <f>SUM(E71)</f>
        <v>0</v>
      </c>
      <c r="F70" s="112">
        <f t="shared" ref="F70:AE70" si="33">SUM(F71)</f>
        <v>200000</v>
      </c>
      <c r="G70" s="112">
        <f t="shared" si="33"/>
        <v>200000</v>
      </c>
      <c r="H70" s="112">
        <f t="shared" si="33"/>
        <v>0</v>
      </c>
      <c r="I70" s="112">
        <f t="shared" si="33"/>
        <v>0</v>
      </c>
      <c r="J70" s="112">
        <f t="shared" si="33"/>
        <v>0</v>
      </c>
      <c r="K70" s="112">
        <f t="shared" si="33"/>
        <v>0</v>
      </c>
      <c r="L70" s="112">
        <f t="shared" si="33"/>
        <v>0</v>
      </c>
      <c r="M70" s="112">
        <f t="shared" si="33"/>
        <v>0</v>
      </c>
      <c r="N70" s="112">
        <f t="shared" si="33"/>
        <v>0</v>
      </c>
      <c r="O70" s="112">
        <f t="shared" si="33"/>
        <v>100000</v>
      </c>
      <c r="P70" s="112">
        <f t="shared" si="33"/>
        <v>0</v>
      </c>
      <c r="Q70" s="112">
        <f t="shared" si="33"/>
        <v>0</v>
      </c>
      <c r="R70" s="112">
        <f t="shared" si="33"/>
        <v>0</v>
      </c>
      <c r="S70" s="112">
        <f t="shared" si="33"/>
        <v>100000</v>
      </c>
      <c r="T70" s="112">
        <f t="shared" si="33"/>
        <v>0</v>
      </c>
      <c r="U70" s="112">
        <f t="shared" si="33"/>
        <v>0</v>
      </c>
      <c r="V70" s="112">
        <f t="shared" si="33"/>
        <v>100000</v>
      </c>
      <c r="W70" s="112">
        <f t="shared" si="33"/>
        <v>0</v>
      </c>
      <c r="X70" s="112">
        <f t="shared" si="33"/>
        <v>0</v>
      </c>
      <c r="Y70" s="112">
        <f t="shared" si="33"/>
        <v>0</v>
      </c>
      <c r="Z70" s="112">
        <f t="shared" si="33"/>
        <v>0</v>
      </c>
      <c r="AA70" s="112">
        <f t="shared" si="33"/>
        <v>0</v>
      </c>
      <c r="AB70" s="112">
        <f t="shared" si="33"/>
        <v>0</v>
      </c>
      <c r="AC70" s="112">
        <f t="shared" si="33"/>
        <v>0</v>
      </c>
      <c r="AD70" s="112">
        <f t="shared" si="33"/>
        <v>0</v>
      </c>
      <c r="AE70" s="112">
        <f t="shared" si="33"/>
        <v>100000</v>
      </c>
      <c r="AF70" s="268"/>
    </row>
    <row r="71" spans="1:32" ht="68.25" customHeight="1" x14ac:dyDescent="0.3">
      <c r="A71" s="1076"/>
      <c r="B71" s="1229"/>
      <c r="C71" s="1230"/>
      <c r="D71" s="274" t="s">
        <v>237</v>
      </c>
      <c r="E71" s="23"/>
      <c r="F71" s="23">
        <f>+S71+AE71</f>
        <v>200000</v>
      </c>
      <c r="G71" s="82">
        <f>+E71+F71</f>
        <v>200000</v>
      </c>
      <c r="H71" s="73"/>
      <c r="I71" s="73"/>
      <c r="J71" s="73"/>
      <c r="K71" s="73"/>
      <c r="L71" s="73"/>
      <c r="M71" s="73"/>
      <c r="O71" s="73">
        <v>100000</v>
      </c>
      <c r="P71" s="73"/>
      <c r="Q71" s="73"/>
      <c r="R71" s="73"/>
      <c r="S71" s="57">
        <f>SUM(H71:R71)</f>
        <v>100000</v>
      </c>
      <c r="T71" s="73"/>
      <c r="U71" s="73"/>
      <c r="V71" s="73">
        <v>100000</v>
      </c>
      <c r="W71" s="73"/>
      <c r="X71" s="73"/>
      <c r="Y71" s="73"/>
      <c r="Z71" s="73"/>
      <c r="AA71" s="73"/>
      <c r="AB71" s="73"/>
      <c r="AC71" s="73"/>
      <c r="AD71" s="73"/>
      <c r="AE71" s="74">
        <f>SUM(T71:AD71)</f>
        <v>100000</v>
      </c>
      <c r="AF71" s="24" t="s">
        <v>233</v>
      </c>
    </row>
    <row r="72" spans="1:32" ht="15.75" customHeight="1" x14ac:dyDescent="0.3">
      <c r="A72" s="1076"/>
      <c r="B72" s="1152" t="s">
        <v>9</v>
      </c>
      <c r="C72" s="1132" t="s">
        <v>245</v>
      </c>
      <c r="D72" s="279"/>
      <c r="E72" s="112">
        <f t="shared" ref="E72:AE72" si="34">SUM(E73:E77)</f>
        <v>1074908.6000000001</v>
      </c>
      <c r="F72" s="112">
        <f t="shared" si="34"/>
        <v>0</v>
      </c>
      <c r="G72" s="112">
        <f t="shared" si="34"/>
        <v>1074908.6000000001</v>
      </c>
      <c r="H72" s="112">
        <f t="shared" si="34"/>
        <v>0</v>
      </c>
      <c r="I72" s="112">
        <f t="shared" si="34"/>
        <v>0</v>
      </c>
      <c r="J72" s="112">
        <f t="shared" si="34"/>
        <v>0</v>
      </c>
      <c r="K72" s="112">
        <f t="shared" si="34"/>
        <v>14150</v>
      </c>
      <c r="L72" s="112">
        <f t="shared" si="34"/>
        <v>0</v>
      </c>
      <c r="M72" s="112">
        <f t="shared" si="34"/>
        <v>0</v>
      </c>
      <c r="N72" s="112">
        <f t="shared" si="34"/>
        <v>100000</v>
      </c>
      <c r="O72" s="112">
        <f t="shared" si="34"/>
        <v>0</v>
      </c>
      <c r="P72" s="112">
        <f t="shared" si="34"/>
        <v>0</v>
      </c>
      <c r="Q72" s="112">
        <f t="shared" si="34"/>
        <v>250000</v>
      </c>
      <c r="R72" s="112">
        <f t="shared" si="34"/>
        <v>0</v>
      </c>
      <c r="S72" s="112">
        <f t="shared" si="34"/>
        <v>364150</v>
      </c>
      <c r="T72" s="112">
        <f t="shared" si="34"/>
        <v>0</v>
      </c>
      <c r="U72" s="112">
        <f t="shared" si="34"/>
        <v>0</v>
      </c>
      <c r="V72" s="112">
        <f t="shared" si="34"/>
        <v>182450</v>
      </c>
      <c r="W72" s="112">
        <f t="shared" si="34"/>
        <v>166458</v>
      </c>
      <c r="X72" s="112">
        <f t="shared" si="34"/>
        <v>0</v>
      </c>
      <c r="Y72" s="112">
        <f t="shared" si="34"/>
        <v>81850.600000000006</v>
      </c>
      <c r="Z72" s="112">
        <f t="shared" si="34"/>
        <v>56000</v>
      </c>
      <c r="AA72" s="112">
        <f t="shared" si="34"/>
        <v>56000</v>
      </c>
      <c r="AB72" s="112">
        <f t="shared" si="34"/>
        <v>56000</v>
      </c>
      <c r="AC72" s="112">
        <f t="shared" si="34"/>
        <v>56000</v>
      </c>
      <c r="AD72" s="112">
        <f t="shared" si="34"/>
        <v>56000</v>
      </c>
      <c r="AE72" s="112">
        <f t="shared" si="34"/>
        <v>710758.6</v>
      </c>
      <c r="AF72" s="268"/>
    </row>
    <row r="73" spans="1:32" s="257" customFormat="1" ht="30" customHeight="1" x14ac:dyDescent="0.3">
      <c r="A73" s="1076"/>
      <c r="B73" s="1198"/>
      <c r="C73" s="1133"/>
      <c r="D73" s="276" t="s">
        <v>278</v>
      </c>
      <c r="E73" s="23">
        <f>+S73+AE73</f>
        <v>110000</v>
      </c>
      <c r="F73" s="23">
        <v>0</v>
      </c>
      <c r="G73" s="82">
        <f>+E73+F73</f>
        <v>110000</v>
      </c>
      <c r="H73" s="252"/>
      <c r="I73" s="252"/>
      <c r="J73" s="252"/>
      <c r="K73" s="252"/>
      <c r="L73" s="252"/>
      <c r="M73" s="252"/>
      <c r="N73" s="252"/>
      <c r="O73" s="252"/>
      <c r="P73" s="252"/>
      <c r="Q73" s="252"/>
      <c r="R73" s="252"/>
      <c r="S73" s="57">
        <f>SUM(H73:R73)</f>
        <v>0</v>
      </c>
      <c r="T73" s="252"/>
      <c r="U73" s="252"/>
      <c r="V73" s="252"/>
      <c r="W73" s="252"/>
      <c r="X73" s="252"/>
      <c r="Y73" s="252"/>
      <c r="Z73" s="559">
        <v>22000</v>
      </c>
      <c r="AA73" s="559">
        <v>22000</v>
      </c>
      <c r="AB73" s="559">
        <v>22000</v>
      </c>
      <c r="AC73" s="559">
        <v>22000</v>
      </c>
      <c r="AD73" s="559">
        <v>22000</v>
      </c>
      <c r="AE73" s="74">
        <f>SUM(T73:AD73)</f>
        <v>110000</v>
      </c>
      <c r="AF73" s="256" t="s">
        <v>185</v>
      </c>
    </row>
    <row r="74" spans="1:32" s="257" customFormat="1" ht="30" customHeight="1" x14ac:dyDescent="0.3">
      <c r="A74" s="1076"/>
      <c r="B74" s="1198"/>
      <c r="C74" s="1133"/>
      <c r="D74" s="564" t="s">
        <v>277</v>
      </c>
      <c r="E74" s="23">
        <f>+S74+AE74</f>
        <v>110000</v>
      </c>
      <c r="F74" s="23">
        <v>0</v>
      </c>
      <c r="G74" s="82">
        <f>+E74+F74</f>
        <v>110000</v>
      </c>
      <c r="H74" s="252"/>
      <c r="I74" s="252"/>
      <c r="J74" s="252"/>
      <c r="K74" s="252"/>
      <c r="L74" s="252"/>
      <c r="M74" s="252"/>
      <c r="N74" s="252"/>
      <c r="O74" s="252"/>
      <c r="P74" s="252"/>
      <c r="Q74" s="252"/>
      <c r="R74" s="252"/>
      <c r="S74" s="57">
        <f>SUM(H74:R74)</f>
        <v>0</v>
      </c>
      <c r="T74" s="252"/>
      <c r="U74" s="252"/>
      <c r="V74" s="252"/>
      <c r="W74" s="252"/>
      <c r="X74" s="252"/>
      <c r="Y74" s="252"/>
      <c r="Z74" s="562">
        <v>22000</v>
      </c>
      <c r="AA74" s="562">
        <v>22000</v>
      </c>
      <c r="AB74" s="562">
        <v>22000</v>
      </c>
      <c r="AC74" s="562">
        <v>22000</v>
      </c>
      <c r="AD74" s="562">
        <v>22000</v>
      </c>
      <c r="AE74" s="74">
        <f>SUM(T74:AD74)</f>
        <v>110000</v>
      </c>
      <c r="AF74" s="256" t="s">
        <v>185</v>
      </c>
    </row>
    <row r="75" spans="1:32" s="257" customFormat="1" ht="30" customHeight="1" x14ac:dyDescent="0.3">
      <c r="A75" s="1076"/>
      <c r="B75" s="1198"/>
      <c r="C75" s="1133"/>
      <c r="D75" s="561" t="s">
        <v>280</v>
      </c>
      <c r="E75" s="23">
        <f>+S75+AE75</f>
        <v>60000</v>
      </c>
      <c r="F75" s="23">
        <v>0</v>
      </c>
      <c r="G75" s="82">
        <f>+E75+F75</f>
        <v>60000</v>
      </c>
      <c r="H75" s="252"/>
      <c r="I75" s="252"/>
      <c r="J75" s="252"/>
      <c r="K75" s="252"/>
      <c r="L75" s="252"/>
      <c r="M75" s="252"/>
      <c r="N75" s="252"/>
      <c r="O75" s="252"/>
      <c r="P75" s="252"/>
      <c r="Q75" s="252"/>
      <c r="R75" s="252"/>
      <c r="S75" s="57">
        <f>SUM(H75:R75)</f>
        <v>0</v>
      </c>
      <c r="T75" s="252"/>
      <c r="U75" s="252"/>
      <c r="V75" s="252"/>
      <c r="W75" s="252"/>
      <c r="X75" s="252"/>
      <c r="Y75" s="252"/>
      <c r="Z75" s="557">
        <v>12000</v>
      </c>
      <c r="AA75" s="557">
        <v>12000</v>
      </c>
      <c r="AB75" s="557">
        <v>12000</v>
      </c>
      <c r="AC75" s="557">
        <v>12000</v>
      </c>
      <c r="AD75" s="557">
        <v>12000</v>
      </c>
      <c r="AE75" s="74">
        <f>SUM(T75:AD75)</f>
        <v>60000</v>
      </c>
      <c r="AF75" s="256" t="s">
        <v>185</v>
      </c>
    </row>
    <row r="76" spans="1:32" ht="99" customHeight="1" x14ac:dyDescent="0.3">
      <c r="A76" s="1076"/>
      <c r="B76" s="1198"/>
      <c r="C76" s="1133"/>
      <c r="D76" s="274" t="s">
        <v>246</v>
      </c>
      <c r="E76" s="23">
        <f>+S76+AE76</f>
        <v>332450</v>
      </c>
      <c r="F76" s="23">
        <v>0</v>
      </c>
      <c r="G76" s="82">
        <f>+E76+F76</f>
        <v>332450</v>
      </c>
      <c r="H76" s="73"/>
      <c r="I76" s="73"/>
      <c r="J76" s="73"/>
      <c r="K76" s="73"/>
      <c r="L76" s="73"/>
      <c r="M76" s="73"/>
      <c r="N76" s="569"/>
      <c r="O76" s="73"/>
      <c r="P76" s="73"/>
      <c r="Q76" s="73">
        <v>150000</v>
      </c>
      <c r="R76" s="73"/>
      <c r="S76" s="57">
        <f>SUM(H76:R76)</f>
        <v>150000</v>
      </c>
      <c r="T76" s="73"/>
      <c r="U76" s="73"/>
      <c r="V76" s="73">
        <v>182450</v>
      </c>
      <c r="W76" s="73"/>
      <c r="X76" s="73"/>
      <c r="Y76" s="73"/>
      <c r="Z76" s="73"/>
      <c r="AA76" s="73"/>
      <c r="AB76" s="73"/>
      <c r="AC76" s="73"/>
      <c r="AD76" s="73"/>
      <c r="AE76" s="74">
        <f>SUM(T76:AD76)</f>
        <v>182450</v>
      </c>
      <c r="AF76" s="24" t="s">
        <v>240</v>
      </c>
    </row>
    <row r="77" spans="1:32" ht="33" customHeight="1" x14ac:dyDescent="0.3">
      <c r="A77" s="1077"/>
      <c r="B77" s="1153"/>
      <c r="C77" s="1134"/>
      <c r="D77" s="274" t="s">
        <v>247</v>
      </c>
      <c r="E77" s="23">
        <f>+S77+AE77</f>
        <v>462458.6</v>
      </c>
      <c r="F77" s="23">
        <v>0</v>
      </c>
      <c r="G77" s="82">
        <f>+E77+F77</f>
        <v>462458.6</v>
      </c>
      <c r="I77" s="73"/>
      <c r="J77" s="73"/>
      <c r="K77" s="73">
        <v>14150</v>
      </c>
      <c r="L77" s="73"/>
      <c r="M77" s="73"/>
      <c r="N77" s="569">
        <v>100000</v>
      </c>
      <c r="O77" s="73"/>
      <c r="P77" s="73"/>
      <c r="Q77" s="73">
        <v>100000</v>
      </c>
      <c r="R77" s="73"/>
      <c r="S77" s="57">
        <f>SUM(H77:R77)</f>
        <v>214150</v>
      </c>
      <c r="T77" s="73"/>
      <c r="U77" s="73"/>
      <c r="V77" s="73"/>
      <c r="W77" s="73">
        <f>196458-30000</f>
        <v>166458</v>
      </c>
      <c r="X77" s="73"/>
      <c r="Y77" s="73">
        <v>81850.600000000006</v>
      </c>
      <c r="Z77" s="73"/>
      <c r="AA77" s="73"/>
      <c r="AB77" s="73"/>
      <c r="AC77" s="73"/>
      <c r="AD77" s="73"/>
      <c r="AE77" s="74">
        <f>SUM(T77:AD77)</f>
        <v>248308.6</v>
      </c>
      <c r="AF77" s="24" t="s">
        <v>636</v>
      </c>
    </row>
    <row r="78" spans="1:32" s="67" customFormat="1" ht="34.5" customHeight="1" x14ac:dyDescent="0.3">
      <c r="A78" s="1063" t="s">
        <v>248</v>
      </c>
      <c r="B78" s="1067"/>
      <c r="C78" s="1067"/>
      <c r="D78" s="1067"/>
      <c r="E78" s="1067"/>
      <c r="F78" s="1067"/>
      <c r="G78" s="1068"/>
      <c r="H78" s="280"/>
      <c r="I78" s="280"/>
      <c r="J78" s="280"/>
      <c r="K78" s="280"/>
      <c r="L78" s="280"/>
      <c r="M78" s="280"/>
      <c r="N78" s="280"/>
      <c r="O78" s="280"/>
      <c r="P78" s="280"/>
      <c r="Q78" s="280"/>
      <c r="R78" s="280"/>
      <c r="S78" s="57"/>
      <c r="T78" s="280"/>
      <c r="U78" s="280"/>
      <c r="V78" s="280"/>
      <c r="W78" s="280"/>
      <c r="X78" s="280"/>
      <c r="Y78" s="280"/>
      <c r="Z78" s="280"/>
      <c r="AA78" s="280"/>
      <c r="AB78" s="280"/>
      <c r="AC78" s="280"/>
      <c r="AD78" s="280"/>
      <c r="AE78" s="57"/>
      <c r="AF78" s="281"/>
    </row>
    <row r="79" spans="1:32" s="67" customFormat="1" ht="37.5" customHeight="1" x14ac:dyDescent="0.3">
      <c r="A79" s="282" t="s">
        <v>249</v>
      </c>
      <c r="B79" s="283"/>
      <c r="C79" s="284"/>
      <c r="D79" s="284"/>
      <c r="E79" s="283"/>
      <c r="F79" s="283"/>
      <c r="G79" s="285"/>
      <c r="H79" s="222"/>
      <c r="I79" s="222"/>
      <c r="J79" s="222"/>
      <c r="K79" s="222"/>
      <c r="L79" s="222"/>
      <c r="M79" s="222"/>
      <c r="N79" s="222"/>
      <c r="O79" s="222"/>
      <c r="P79" s="222"/>
      <c r="Q79" s="222"/>
      <c r="R79" s="222"/>
      <c r="S79" s="222"/>
      <c r="T79" s="222"/>
      <c r="U79" s="222"/>
      <c r="V79" s="222"/>
      <c r="W79" s="222"/>
      <c r="X79" s="222"/>
      <c r="Y79" s="222"/>
      <c r="Z79" s="222"/>
      <c r="AA79" s="222"/>
      <c r="AB79" s="222"/>
      <c r="AC79" s="222"/>
      <c r="AD79" s="222"/>
      <c r="AE79" s="222"/>
      <c r="AF79" s="223"/>
    </row>
    <row r="80" spans="1:32" ht="23.25" customHeight="1" x14ac:dyDescent="0.3">
      <c r="A80" s="1131" t="s">
        <v>272</v>
      </c>
      <c r="B80" s="266"/>
      <c r="C80" s="272"/>
      <c r="D80" s="272"/>
      <c r="E80" s="267">
        <f>+E81</f>
        <v>500000</v>
      </c>
      <c r="F80" s="267">
        <f t="shared" ref="F80:AE80" si="35">+F81</f>
        <v>0</v>
      </c>
      <c r="G80" s="267">
        <f t="shared" si="35"/>
        <v>500000</v>
      </c>
      <c r="H80" s="267">
        <f t="shared" si="35"/>
        <v>0</v>
      </c>
      <c r="I80" s="267">
        <f t="shared" si="35"/>
        <v>0</v>
      </c>
      <c r="J80" s="267">
        <f t="shared" si="35"/>
        <v>0</v>
      </c>
      <c r="K80" s="267">
        <f t="shared" si="35"/>
        <v>0</v>
      </c>
      <c r="L80" s="267">
        <f t="shared" si="35"/>
        <v>0</v>
      </c>
      <c r="M80" s="267">
        <f t="shared" si="35"/>
        <v>0</v>
      </c>
      <c r="N80" s="267">
        <f t="shared" si="35"/>
        <v>55700.01</v>
      </c>
      <c r="O80" s="267">
        <f t="shared" si="35"/>
        <v>50000</v>
      </c>
      <c r="P80" s="267">
        <f t="shared" si="35"/>
        <v>50000</v>
      </c>
      <c r="Q80" s="267">
        <f t="shared" si="35"/>
        <v>80000</v>
      </c>
      <c r="R80" s="267">
        <f t="shared" si="35"/>
        <v>64299.99</v>
      </c>
      <c r="S80" s="267">
        <f t="shared" si="35"/>
        <v>300000</v>
      </c>
      <c r="T80" s="267">
        <f t="shared" si="35"/>
        <v>0</v>
      </c>
      <c r="U80" s="267">
        <f t="shared" si="35"/>
        <v>0</v>
      </c>
      <c r="V80" s="267">
        <f t="shared" si="35"/>
        <v>20000</v>
      </c>
      <c r="W80" s="267">
        <f t="shared" si="35"/>
        <v>75000</v>
      </c>
      <c r="X80" s="267">
        <f t="shared" si="35"/>
        <v>10000</v>
      </c>
      <c r="Y80" s="267">
        <f t="shared" si="35"/>
        <v>0</v>
      </c>
      <c r="Z80" s="267">
        <f t="shared" si="35"/>
        <v>0</v>
      </c>
      <c r="AA80" s="267">
        <f t="shared" si="35"/>
        <v>85000</v>
      </c>
      <c r="AB80" s="267">
        <f t="shared" si="35"/>
        <v>0</v>
      </c>
      <c r="AC80" s="267">
        <f t="shared" si="35"/>
        <v>0</v>
      </c>
      <c r="AD80" s="267">
        <f t="shared" si="35"/>
        <v>10000</v>
      </c>
      <c r="AE80" s="267">
        <f t="shared" si="35"/>
        <v>200000</v>
      </c>
      <c r="AF80" s="266"/>
    </row>
    <row r="81" spans="1:32" ht="25.5" customHeight="1" x14ac:dyDescent="0.3">
      <c r="A81" s="1131"/>
      <c r="B81" s="1157" t="s">
        <v>2</v>
      </c>
      <c r="C81" s="1132" t="s">
        <v>273</v>
      </c>
      <c r="D81" s="278"/>
      <c r="E81" s="112">
        <f t="shared" ref="E81:AE81" si="36">SUM(E82:E83)</f>
        <v>500000</v>
      </c>
      <c r="F81" s="112">
        <f t="shared" si="36"/>
        <v>0</v>
      </c>
      <c r="G81" s="112">
        <f t="shared" si="36"/>
        <v>500000</v>
      </c>
      <c r="H81" s="112">
        <f t="shared" si="36"/>
        <v>0</v>
      </c>
      <c r="I81" s="112">
        <f t="shared" si="36"/>
        <v>0</v>
      </c>
      <c r="J81" s="112">
        <f t="shared" si="36"/>
        <v>0</v>
      </c>
      <c r="K81" s="112">
        <f t="shared" si="36"/>
        <v>0</v>
      </c>
      <c r="L81" s="112">
        <f t="shared" si="36"/>
        <v>0</v>
      </c>
      <c r="M81" s="112">
        <f t="shared" si="36"/>
        <v>0</v>
      </c>
      <c r="N81" s="112">
        <f t="shared" si="36"/>
        <v>55700.01</v>
      </c>
      <c r="O81" s="112">
        <f t="shared" si="36"/>
        <v>50000</v>
      </c>
      <c r="P81" s="112">
        <f t="shared" si="36"/>
        <v>50000</v>
      </c>
      <c r="Q81" s="112">
        <f t="shared" si="36"/>
        <v>80000</v>
      </c>
      <c r="R81" s="112">
        <f t="shared" si="36"/>
        <v>64299.99</v>
      </c>
      <c r="S81" s="112">
        <f t="shared" si="36"/>
        <v>300000</v>
      </c>
      <c r="T81" s="112">
        <f t="shared" si="36"/>
        <v>0</v>
      </c>
      <c r="U81" s="112">
        <f t="shared" si="36"/>
        <v>0</v>
      </c>
      <c r="V81" s="112">
        <f t="shared" si="36"/>
        <v>20000</v>
      </c>
      <c r="W81" s="112">
        <f t="shared" si="36"/>
        <v>75000</v>
      </c>
      <c r="X81" s="112">
        <f t="shared" si="36"/>
        <v>10000</v>
      </c>
      <c r="Y81" s="112">
        <f t="shared" si="36"/>
        <v>0</v>
      </c>
      <c r="Z81" s="112">
        <f t="shared" si="36"/>
        <v>0</v>
      </c>
      <c r="AA81" s="112">
        <f t="shared" si="36"/>
        <v>85000</v>
      </c>
      <c r="AB81" s="112">
        <f t="shared" si="36"/>
        <v>0</v>
      </c>
      <c r="AC81" s="112">
        <f t="shared" si="36"/>
        <v>0</v>
      </c>
      <c r="AD81" s="112">
        <f t="shared" si="36"/>
        <v>10000</v>
      </c>
      <c r="AE81" s="112">
        <f t="shared" si="36"/>
        <v>200000</v>
      </c>
      <c r="AF81" s="268"/>
    </row>
    <row r="82" spans="1:32" ht="39.75" customHeight="1" x14ac:dyDescent="0.3">
      <c r="A82" s="1131"/>
      <c r="B82" s="1158"/>
      <c r="C82" s="1133"/>
      <c r="D82" s="273" t="s">
        <v>274</v>
      </c>
      <c r="E82" s="23">
        <f>+S82+AE82</f>
        <v>110000</v>
      </c>
      <c r="F82" s="23">
        <v>0</v>
      </c>
      <c r="G82" s="82">
        <f>+E82+F82</f>
        <v>110000</v>
      </c>
      <c r="H82" s="73"/>
      <c r="I82" s="73"/>
      <c r="J82" s="73"/>
      <c r="K82" s="73"/>
      <c r="L82" s="73"/>
      <c r="M82" s="73"/>
      <c r="N82" s="569">
        <v>20000</v>
      </c>
      <c r="O82" s="73">
        <v>10000</v>
      </c>
      <c r="P82" s="73">
        <v>10000</v>
      </c>
      <c r="Q82" s="73">
        <v>20000</v>
      </c>
      <c r="R82" s="73"/>
      <c r="S82" s="57">
        <f>SUM(H82:R82)</f>
        <v>60000</v>
      </c>
      <c r="T82" s="73"/>
      <c r="U82" s="73"/>
      <c r="V82" s="73">
        <v>20000</v>
      </c>
      <c r="W82" s="73"/>
      <c r="X82" s="73">
        <v>10000</v>
      </c>
      <c r="Y82" s="73"/>
      <c r="Z82" s="73"/>
      <c r="AA82" s="73">
        <v>10000</v>
      </c>
      <c r="AB82" s="73"/>
      <c r="AC82" s="73"/>
      <c r="AD82" s="73">
        <v>10000</v>
      </c>
      <c r="AE82" s="74">
        <f>SUM(T82:AD82)</f>
        <v>50000</v>
      </c>
      <c r="AF82" s="312" t="s">
        <v>329</v>
      </c>
    </row>
    <row r="83" spans="1:32" ht="55.5" customHeight="1" x14ac:dyDescent="0.3">
      <c r="A83" s="1131"/>
      <c r="B83" s="1159"/>
      <c r="C83" s="1134"/>
      <c r="D83" s="273" t="s">
        <v>301</v>
      </c>
      <c r="E83" s="23">
        <f>+S83+AE83</f>
        <v>390000</v>
      </c>
      <c r="F83" s="23">
        <v>0</v>
      </c>
      <c r="G83" s="82">
        <f>+E83+F83</f>
        <v>390000</v>
      </c>
      <c r="H83" s="73"/>
      <c r="I83" s="73"/>
      <c r="J83" s="73"/>
      <c r="K83" s="73"/>
      <c r="L83" s="73"/>
      <c r="M83" s="73"/>
      <c r="N83" s="569">
        <f>40000-4299.99</f>
        <v>35700.01</v>
      </c>
      <c r="O83" s="73">
        <v>40000</v>
      </c>
      <c r="P83" s="73">
        <v>40000</v>
      </c>
      <c r="Q83" s="73">
        <v>60000</v>
      </c>
      <c r="R83" s="73">
        <f>60000+4299.99</f>
        <v>64299.99</v>
      </c>
      <c r="S83" s="57">
        <f>SUM(H83:R83)</f>
        <v>240000</v>
      </c>
      <c r="T83" s="73"/>
      <c r="U83" s="73"/>
      <c r="V83" s="73"/>
      <c r="W83" s="73">
        <v>75000</v>
      </c>
      <c r="X83" s="73"/>
      <c r="Y83" s="73"/>
      <c r="Z83" s="73"/>
      <c r="AA83" s="73">
        <v>75000</v>
      </c>
      <c r="AB83" s="73"/>
      <c r="AC83" s="73"/>
      <c r="AD83" s="73"/>
      <c r="AE83" s="74">
        <f>SUM(T83:AD83)</f>
        <v>150000</v>
      </c>
      <c r="AF83" s="312" t="s">
        <v>329</v>
      </c>
    </row>
    <row r="84" spans="1:32" s="67" customFormat="1" ht="14.4" customHeight="1" x14ac:dyDescent="0.3">
      <c r="A84" s="1114" t="s">
        <v>97</v>
      </c>
      <c r="B84" s="266"/>
      <c r="C84" s="288"/>
      <c r="D84" s="288"/>
      <c r="E84" s="267">
        <f t="shared" ref="E84:AE84" si="37">+E85+E89+E92+E95</f>
        <v>1584595.48</v>
      </c>
      <c r="F84" s="267">
        <f t="shared" si="37"/>
        <v>6412670.9199999999</v>
      </c>
      <c r="G84" s="267">
        <f t="shared" si="37"/>
        <v>7997266.4000000004</v>
      </c>
      <c r="H84" s="267">
        <f t="shared" si="37"/>
        <v>279585</v>
      </c>
      <c r="I84" s="267">
        <f t="shared" si="37"/>
        <v>869336</v>
      </c>
      <c r="J84" s="267">
        <f t="shared" si="37"/>
        <v>5115</v>
      </c>
      <c r="K84" s="267">
        <f t="shared" si="37"/>
        <v>292212.57</v>
      </c>
      <c r="L84" s="267">
        <f t="shared" si="37"/>
        <v>25000</v>
      </c>
      <c r="M84" s="267">
        <f t="shared" si="37"/>
        <v>0</v>
      </c>
      <c r="N84" s="267">
        <f t="shared" si="37"/>
        <v>224533.74</v>
      </c>
      <c r="O84" s="267">
        <f t="shared" si="37"/>
        <v>378640.92</v>
      </c>
      <c r="P84" s="267">
        <f t="shared" si="37"/>
        <v>380000</v>
      </c>
      <c r="Q84" s="267">
        <f t="shared" si="37"/>
        <v>542000</v>
      </c>
      <c r="R84" s="267">
        <f t="shared" si="37"/>
        <v>660031.65</v>
      </c>
      <c r="S84" s="267">
        <f t="shared" si="37"/>
        <v>3656454.88</v>
      </c>
      <c r="T84" s="267">
        <f t="shared" si="37"/>
        <v>90000</v>
      </c>
      <c r="U84" s="267">
        <f t="shared" si="37"/>
        <v>663880.43999999994</v>
      </c>
      <c r="V84" s="267">
        <f t="shared" si="37"/>
        <v>455000</v>
      </c>
      <c r="W84" s="267">
        <f t="shared" si="37"/>
        <v>515000</v>
      </c>
      <c r="X84" s="267">
        <f t="shared" si="37"/>
        <v>491000</v>
      </c>
      <c r="Y84" s="267">
        <f t="shared" si="37"/>
        <v>1371811.9000000001</v>
      </c>
      <c r="Z84" s="267">
        <f t="shared" si="37"/>
        <v>215000</v>
      </c>
      <c r="AA84" s="267">
        <f t="shared" si="37"/>
        <v>215000</v>
      </c>
      <c r="AB84" s="267">
        <f t="shared" si="37"/>
        <v>188119.18</v>
      </c>
      <c r="AC84" s="267">
        <f t="shared" si="37"/>
        <v>136000</v>
      </c>
      <c r="AD84" s="267">
        <f t="shared" si="37"/>
        <v>0</v>
      </c>
      <c r="AE84" s="267">
        <f t="shared" si="37"/>
        <v>4340811.5200000005</v>
      </c>
      <c r="AF84" s="266"/>
    </row>
    <row r="85" spans="1:32" ht="22.5" customHeight="1" x14ac:dyDescent="0.3">
      <c r="A85" s="1116"/>
      <c r="B85" s="1152" t="s">
        <v>2</v>
      </c>
      <c r="C85" s="1135" t="s">
        <v>267</v>
      </c>
      <c r="D85" s="278"/>
      <c r="E85" s="112">
        <f t="shared" ref="E85:AE85" si="38">SUM(E86:E88)</f>
        <v>0</v>
      </c>
      <c r="F85" s="112">
        <f t="shared" si="38"/>
        <v>4352639.6499999994</v>
      </c>
      <c r="G85" s="112">
        <f t="shared" si="38"/>
        <v>4352639.6499999994</v>
      </c>
      <c r="H85" s="112">
        <f t="shared" si="38"/>
        <v>275575</v>
      </c>
      <c r="I85" s="112">
        <f t="shared" si="38"/>
        <v>868461</v>
      </c>
      <c r="J85" s="112">
        <f t="shared" si="38"/>
        <v>0</v>
      </c>
      <c r="K85" s="112">
        <f t="shared" si="38"/>
        <v>0</v>
      </c>
      <c r="L85" s="112">
        <f t="shared" si="38"/>
        <v>0</v>
      </c>
      <c r="M85" s="112">
        <f t="shared" si="38"/>
        <v>0</v>
      </c>
      <c r="N85" s="112">
        <f t="shared" si="38"/>
        <v>0</v>
      </c>
      <c r="O85" s="112">
        <f t="shared" si="38"/>
        <v>223640.91999999998</v>
      </c>
      <c r="P85" s="112">
        <f t="shared" si="38"/>
        <v>290000</v>
      </c>
      <c r="Q85" s="112">
        <f t="shared" si="38"/>
        <v>190000</v>
      </c>
      <c r="R85" s="112">
        <f t="shared" si="38"/>
        <v>470031.65</v>
      </c>
      <c r="S85" s="112">
        <f t="shared" si="38"/>
        <v>2317708.5699999998</v>
      </c>
      <c r="T85" s="112">
        <f t="shared" si="38"/>
        <v>0</v>
      </c>
      <c r="U85" s="112">
        <f t="shared" si="38"/>
        <v>290000</v>
      </c>
      <c r="V85" s="112">
        <f t="shared" si="38"/>
        <v>200000</v>
      </c>
      <c r="W85" s="112">
        <f t="shared" si="38"/>
        <v>200000</v>
      </c>
      <c r="X85" s="112">
        <f t="shared" si="38"/>
        <v>290000</v>
      </c>
      <c r="Y85" s="112">
        <f t="shared" si="38"/>
        <v>1054931.08</v>
      </c>
      <c r="Z85" s="112">
        <f t="shared" si="38"/>
        <v>0</v>
      </c>
      <c r="AA85" s="112">
        <f t="shared" si="38"/>
        <v>0</v>
      </c>
      <c r="AB85" s="112">
        <f t="shared" si="38"/>
        <v>0</v>
      </c>
      <c r="AC85" s="112">
        <f t="shared" si="38"/>
        <v>0</v>
      </c>
      <c r="AD85" s="112">
        <f t="shared" si="38"/>
        <v>0</v>
      </c>
      <c r="AE85" s="112">
        <f t="shared" si="38"/>
        <v>2034931.08</v>
      </c>
      <c r="AF85" s="268"/>
    </row>
    <row r="86" spans="1:32" ht="25.95" customHeight="1" x14ac:dyDescent="0.3">
      <c r="A86" s="1116"/>
      <c r="B86" s="1198"/>
      <c r="C86" s="1136"/>
      <c r="D86" s="273" t="s">
        <v>611</v>
      </c>
      <c r="E86" s="23">
        <v>0</v>
      </c>
      <c r="F86" s="23">
        <f>+S86+AE86</f>
        <v>2758854.3099999996</v>
      </c>
      <c r="G86" s="82">
        <f>+E86+F86</f>
        <v>2758854.3099999996</v>
      </c>
      <c r="H86" s="714">
        <v>275575</v>
      </c>
      <c r="I86" s="714">
        <v>828461</v>
      </c>
      <c r="J86" s="714">
        <v>0</v>
      </c>
      <c r="K86" s="73"/>
      <c r="L86" s="73"/>
      <c r="M86" s="73"/>
      <c r="N86" s="73"/>
      <c r="O86" s="73">
        <f>200000-66359.08</f>
        <v>133640.91999999998</v>
      </c>
      <c r="P86" s="73">
        <v>200000</v>
      </c>
      <c r="Q86" s="73">
        <v>100000</v>
      </c>
      <c r="R86" s="73">
        <v>170031.65</v>
      </c>
      <c r="S86" s="57">
        <f>SUM(H86:R86)</f>
        <v>1707708.5699999998</v>
      </c>
      <c r="T86" s="73"/>
      <c r="U86" s="73">
        <v>200000</v>
      </c>
      <c r="V86" s="73">
        <v>200000</v>
      </c>
      <c r="W86" s="73">
        <v>200000</v>
      </c>
      <c r="X86" s="73">
        <v>200000</v>
      </c>
      <c r="Y86" s="73">
        <v>251145.74</v>
      </c>
      <c r="Z86" s="73"/>
      <c r="AA86" s="73"/>
      <c r="AB86" s="73"/>
      <c r="AC86" s="73"/>
      <c r="AD86" s="73"/>
      <c r="AE86" s="74">
        <f>SUM(T86:AD86)</f>
        <v>1051145.74</v>
      </c>
      <c r="AF86" s="24" t="s">
        <v>655</v>
      </c>
    </row>
    <row r="87" spans="1:32" ht="25.95" customHeight="1" x14ac:dyDescent="0.3">
      <c r="A87" s="1116"/>
      <c r="B87" s="1198"/>
      <c r="C87" s="1136"/>
      <c r="D87" s="273" t="s">
        <v>610</v>
      </c>
      <c r="E87" s="23"/>
      <c r="F87" s="23">
        <f>+S87+AE87</f>
        <v>1053785.3400000001</v>
      </c>
      <c r="G87" s="82">
        <f>+E87+F87</f>
        <v>1053785.3400000001</v>
      </c>
      <c r="H87" s="73"/>
      <c r="I87" s="81"/>
      <c r="J87" s="73"/>
      <c r="K87" s="73"/>
      <c r="L87" s="73"/>
      <c r="M87" s="73"/>
      <c r="N87" s="73"/>
      <c r="O87" s="73"/>
      <c r="P87" s="73"/>
      <c r="Q87" s="73"/>
      <c r="R87" s="73">
        <v>250000</v>
      </c>
      <c r="S87" s="57">
        <f>SUM(H87:R87)</f>
        <v>250000</v>
      </c>
      <c r="T87" s="73"/>
      <c r="U87" s="73"/>
      <c r="W87" s="73"/>
      <c r="X87" s="73"/>
      <c r="Y87" s="73">
        <f>1053785.34-250000</f>
        <v>803785.34000000008</v>
      </c>
      <c r="Z87" s="73"/>
      <c r="AA87" s="73"/>
      <c r="AB87" s="73"/>
      <c r="AC87" s="73"/>
      <c r="AD87" s="73"/>
      <c r="AE87" s="74">
        <f>SUM(T87:AD87)</f>
        <v>803785.34000000008</v>
      </c>
      <c r="AF87" s="24" t="s">
        <v>655</v>
      </c>
    </row>
    <row r="88" spans="1:32" ht="36.6" customHeight="1" x14ac:dyDescent="0.3">
      <c r="A88" s="1116"/>
      <c r="B88" s="1153"/>
      <c r="C88" s="1137"/>
      <c r="D88" s="273" t="s">
        <v>269</v>
      </c>
      <c r="E88" s="23">
        <v>0</v>
      </c>
      <c r="F88" s="23">
        <f>+S88+AE88</f>
        <v>540000</v>
      </c>
      <c r="G88" s="82">
        <f>+E88+F88</f>
        <v>540000</v>
      </c>
      <c r="H88" s="73"/>
      <c r="I88" s="81">
        <v>40000</v>
      </c>
      <c r="J88" s="73"/>
      <c r="K88" s="73"/>
      <c r="L88" s="73"/>
      <c r="M88" s="73"/>
      <c r="N88" s="73"/>
      <c r="O88" s="73">
        <v>90000</v>
      </c>
      <c r="P88" s="73">
        <v>90000</v>
      </c>
      <c r="Q88" s="73">
        <v>90000</v>
      </c>
      <c r="R88" s="73">
        <v>50000</v>
      </c>
      <c r="S88" s="57">
        <f>SUM(H88:R88)</f>
        <v>360000</v>
      </c>
      <c r="T88" s="73"/>
      <c r="U88" s="73">
        <v>90000</v>
      </c>
      <c r="V88" s="73"/>
      <c r="W88" s="73"/>
      <c r="X88" s="73">
        <v>90000</v>
      </c>
      <c r="Y88" s="73"/>
      <c r="Z88" s="73"/>
      <c r="AA88" s="73"/>
      <c r="AB88" s="73"/>
      <c r="AC88" s="73"/>
      <c r="AD88" s="73"/>
      <c r="AE88" s="74">
        <f>SUM(T88:AD88)</f>
        <v>180000</v>
      </c>
      <c r="AF88" s="24" t="s">
        <v>655</v>
      </c>
    </row>
    <row r="89" spans="1:32" ht="20.25" customHeight="1" x14ac:dyDescent="0.3">
      <c r="A89" s="1116"/>
      <c r="B89" s="1157" t="s">
        <v>3</v>
      </c>
      <c r="C89" s="1132" t="s">
        <v>268</v>
      </c>
      <c r="D89" s="278"/>
      <c r="E89" s="112">
        <f>SUM(E90:E91)</f>
        <v>0</v>
      </c>
      <c r="F89" s="112">
        <f>SUM(F90:F91)</f>
        <v>2060031.27</v>
      </c>
      <c r="G89" s="112">
        <f>SUM(G90:G91)</f>
        <v>2060031.27</v>
      </c>
      <c r="H89" s="112">
        <f t="shared" ref="H89:AE89" si="39">SUM(H90:H91)</f>
        <v>4010</v>
      </c>
      <c r="I89" s="112">
        <f t="shared" si="39"/>
        <v>875</v>
      </c>
      <c r="J89" s="112">
        <f t="shared" si="39"/>
        <v>5115</v>
      </c>
      <c r="K89" s="112">
        <f t="shared" si="39"/>
        <v>267212.57</v>
      </c>
      <c r="L89" s="112">
        <f t="shared" si="39"/>
        <v>0</v>
      </c>
      <c r="M89" s="112">
        <f t="shared" si="39"/>
        <v>0</v>
      </c>
      <c r="N89" s="112">
        <f t="shared" si="39"/>
        <v>92819.08</v>
      </c>
      <c r="O89" s="112">
        <f t="shared" si="39"/>
        <v>90000</v>
      </c>
      <c r="P89" s="112">
        <f t="shared" si="39"/>
        <v>90000</v>
      </c>
      <c r="Q89" s="112">
        <f t="shared" si="39"/>
        <v>172000</v>
      </c>
      <c r="R89" s="112">
        <f t="shared" si="39"/>
        <v>70000</v>
      </c>
      <c r="S89" s="112">
        <f t="shared" si="39"/>
        <v>792031.65</v>
      </c>
      <c r="T89" s="112">
        <f t="shared" si="39"/>
        <v>0</v>
      </c>
      <c r="U89" s="112">
        <f t="shared" si="39"/>
        <v>183880.44</v>
      </c>
      <c r="V89" s="112">
        <f t="shared" si="39"/>
        <v>150000</v>
      </c>
      <c r="W89" s="112">
        <f t="shared" si="39"/>
        <v>150000</v>
      </c>
      <c r="X89" s="112">
        <f t="shared" si="39"/>
        <v>126000</v>
      </c>
      <c r="Y89" s="112">
        <f t="shared" si="39"/>
        <v>140000</v>
      </c>
      <c r="Z89" s="112">
        <f t="shared" si="39"/>
        <v>140000</v>
      </c>
      <c r="AA89" s="112">
        <f t="shared" si="39"/>
        <v>140000</v>
      </c>
      <c r="AB89" s="112">
        <f t="shared" si="39"/>
        <v>138119.18</v>
      </c>
      <c r="AC89" s="112">
        <f t="shared" si="39"/>
        <v>100000</v>
      </c>
      <c r="AD89" s="112">
        <f t="shared" si="39"/>
        <v>0</v>
      </c>
      <c r="AE89" s="112">
        <f t="shared" si="39"/>
        <v>1267999.6200000001</v>
      </c>
      <c r="AF89" s="268"/>
    </row>
    <row r="90" spans="1:32" ht="27.6" customHeight="1" x14ac:dyDescent="0.3">
      <c r="A90" s="1116"/>
      <c r="B90" s="1158"/>
      <c r="C90" s="1133"/>
      <c r="D90" s="273" t="s">
        <v>282</v>
      </c>
      <c r="E90" s="23">
        <v>0</v>
      </c>
      <c r="F90" s="23">
        <f>+S90+AE90</f>
        <v>1100000</v>
      </c>
      <c r="G90" s="82">
        <f>+E90+F90</f>
        <v>1100000</v>
      </c>
      <c r="H90" s="73"/>
      <c r="I90" s="81"/>
      <c r="J90" s="73"/>
      <c r="K90" s="73">
        <f>60000+170031.65</f>
        <v>230031.65</v>
      </c>
      <c r="L90" s="73"/>
      <c r="M90" s="73"/>
      <c r="N90" s="569">
        <v>50000</v>
      </c>
      <c r="O90" s="73">
        <v>50000</v>
      </c>
      <c r="P90" s="73">
        <v>50000</v>
      </c>
      <c r="Q90" s="73">
        <v>92000</v>
      </c>
      <c r="R90" s="73">
        <v>0</v>
      </c>
      <c r="S90" s="57">
        <f>SUM(H90:R90)</f>
        <v>472031.65</v>
      </c>
      <c r="T90" s="73"/>
      <c r="U90" s="73">
        <f>50000+80000-78031.65</f>
        <v>51968.350000000006</v>
      </c>
      <c r="V90" s="73">
        <v>100000</v>
      </c>
      <c r="W90" s="73">
        <v>100000</v>
      </c>
      <c r="X90" s="73">
        <v>76000</v>
      </c>
      <c r="Y90" s="73">
        <v>50000</v>
      </c>
      <c r="Z90" s="73">
        <v>50000</v>
      </c>
      <c r="AA90" s="73">
        <v>50000</v>
      </c>
      <c r="AB90" s="73">
        <v>50000</v>
      </c>
      <c r="AC90" s="73">
        <v>100000</v>
      </c>
      <c r="AD90" s="73"/>
      <c r="AE90" s="74">
        <f>SUM(T90:AD90)</f>
        <v>627968.35</v>
      </c>
      <c r="AF90" s="24" t="s">
        <v>655</v>
      </c>
    </row>
    <row r="91" spans="1:32" ht="34.200000000000003" customHeight="1" x14ac:dyDescent="0.3">
      <c r="A91" s="1116"/>
      <c r="B91" s="1159"/>
      <c r="C91" s="1134"/>
      <c r="D91" s="273" t="s">
        <v>706</v>
      </c>
      <c r="E91" s="23">
        <v>0</v>
      </c>
      <c r="F91" s="23">
        <f>+S91+AE91</f>
        <v>960031.27</v>
      </c>
      <c r="G91" s="82">
        <f>+E91+F91</f>
        <v>960031.27</v>
      </c>
      <c r="H91" s="714">
        <v>4010</v>
      </c>
      <c r="I91" s="714">
        <v>875</v>
      </c>
      <c r="J91" s="714">
        <v>5115</v>
      </c>
      <c r="K91" s="73">
        <v>37180.92</v>
      </c>
      <c r="L91" s="73"/>
      <c r="M91" s="73"/>
      <c r="N91" s="569">
        <v>42819.08</v>
      </c>
      <c r="O91" s="73">
        <v>40000</v>
      </c>
      <c r="P91" s="73">
        <v>40000</v>
      </c>
      <c r="Q91" s="73">
        <v>80000</v>
      </c>
      <c r="R91" s="73">
        <f>80000-10000</f>
        <v>70000</v>
      </c>
      <c r="S91" s="57">
        <f>SUM(H91:R91)</f>
        <v>320000</v>
      </c>
      <c r="T91" s="73"/>
      <c r="U91" s="73">
        <f>50000+81912.09</f>
        <v>131912.09</v>
      </c>
      <c r="V91" s="73">
        <v>50000</v>
      </c>
      <c r="W91" s="73">
        <v>50000</v>
      </c>
      <c r="X91" s="73">
        <v>50000</v>
      </c>
      <c r="Y91" s="73">
        <v>90000</v>
      </c>
      <c r="Z91" s="73">
        <v>90000</v>
      </c>
      <c r="AA91" s="73">
        <v>90000</v>
      </c>
      <c r="AB91" s="73">
        <v>88119.18</v>
      </c>
      <c r="AC91" s="73"/>
      <c r="AD91" s="73"/>
      <c r="AE91" s="74">
        <f>SUM(T91:AD91)</f>
        <v>640031.27</v>
      </c>
      <c r="AF91" s="24" t="s">
        <v>655</v>
      </c>
    </row>
    <row r="92" spans="1:32" ht="19.5" customHeight="1" x14ac:dyDescent="0.3">
      <c r="A92" s="1116"/>
      <c r="B92" s="1152" t="s">
        <v>4</v>
      </c>
      <c r="C92" s="1135" t="s">
        <v>616</v>
      </c>
      <c r="D92" s="278"/>
      <c r="E92" s="112">
        <f t="shared" ref="E92:AE92" si="40">SUM(E93:E94)</f>
        <v>966000</v>
      </c>
      <c r="F92" s="112">
        <f t="shared" si="40"/>
        <v>0</v>
      </c>
      <c r="G92" s="112">
        <f t="shared" si="40"/>
        <v>966000</v>
      </c>
      <c r="H92" s="112">
        <f t="shared" si="40"/>
        <v>0</v>
      </c>
      <c r="I92" s="112">
        <f t="shared" si="40"/>
        <v>0</v>
      </c>
      <c r="J92" s="112">
        <f t="shared" si="40"/>
        <v>0</v>
      </c>
      <c r="K92" s="112">
        <f t="shared" si="40"/>
        <v>0</v>
      </c>
      <c r="L92" s="112">
        <f t="shared" si="40"/>
        <v>0</v>
      </c>
      <c r="M92" s="112">
        <f t="shared" si="40"/>
        <v>0</v>
      </c>
      <c r="N92" s="112">
        <f t="shared" si="40"/>
        <v>0</v>
      </c>
      <c r="O92" s="112">
        <f t="shared" si="40"/>
        <v>0</v>
      </c>
      <c r="P92" s="112">
        <f t="shared" si="40"/>
        <v>0</v>
      </c>
      <c r="Q92" s="112">
        <f t="shared" si="40"/>
        <v>135000</v>
      </c>
      <c r="R92" s="112">
        <f t="shared" si="40"/>
        <v>75000</v>
      </c>
      <c r="S92" s="112">
        <f t="shared" si="40"/>
        <v>210000</v>
      </c>
      <c r="T92" s="112">
        <f t="shared" si="40"/>
        <v>90000</v>
      </c>
      <c r="U92" s="112">
        <f t="shared" si="40"/>
        <v>100000</v>
      </c>
      <c r="V92" s="112">
        <f t="shared" si="40"/>
        <v>105000</v>
      </c>
      <c r="W92" s="112">
        <f t="shared" si="40"/>
        <v>75000</v>
      </c>
      <c r="X92" s="112">
        <f t="shared" si="40"/>
        <v>75000</v>
      </c>
      <c r="Y92" s="112">
        <f t="shared" si="40"/>
        <v>75000</v>
      </c>
      <c r="Z92" s="112">
        <f t="shared" si="40"/>
        <v>75000</v>
      </c>
      <c r="AA92" s="112">
        <f t="shared" si="40"/>
        <v>75000</v>
      </c>
      <c r="AB92" s="112">
        <f t="shared" si="40"/>
        <v>50000</v>
      </c>
      <c r="AC92" s="112">
        <f t="shared" si="40"/>
        <v>36000</v>
      </c>
      <c r="AD92" s="112">
        <f t="shared" si="40"/>
        <v>0</v>
      </c>
      <c r="AE92" s="112">
        <f t="shared" si="40"/>
        <v>756000</v>
      </c>
      <c r="AF92" s="268"/>
    </row>
    <row r="93" spans="1:32" ht="32.4" customHeight="1" x14ac:dyDescent="0.3">
      <c r="A93" s="1116"/>
      <c r="B93" s="1198"/>
      <c r="C93" s="1136"/>
      <c r="D93" s="273" t="s">
        <v>270</v>
      </c>
      <c r="E93" s="23">
        <f>+S93+AE93</f>
        <v>130000</v>
      </c>
      <c r="F93" s="23">
        <v>0</v>
      </c>
      <c r="G93" s="82">
        <f>+E93+F93</f>
        <v>130000</v>
      </c>
      <c r="H93" s="73"/>
      <c r="I93" s="73"/>
      <c r="J93" s="73"/>
      <c r="K93" s="73"/>
      <c r="L93" s="73"/>
      <c r="M93" s="73"/>
      <c r="N93" s="569"/>
      <c r="O93" s="73"/>
      <c r="P93" s="73"/>
      <c r="Q93" s="73">
        <v>60000</v>
      </c>
      <c r="R93" s="73"/>
      <c r="S93" s="57">
        <f>SUM(H93:R93)</f>
        <v>60000</v>
      </c>
      <c r="T93" s="73">
        <v>15000</v>
      </c>
      <c r="U93" s="73">
        <v>25000</v>
      </c>
      <c r="V93" s="73">
        <v>30000</v>
      </c>
      <c r="W93" s="73"/>
      <c r="X93" s="73"/>
      <c r="Y93" s="73"/>
      <c r="Z93" s="73"/>
      <c r="AA93" s="73"/>
      <c r="AB93" s="73"/>
      <c r="AC93" s="73"/>
      <c r="AD93" s="73"/>
      <c r="AE93" s="74">
        <f>SUM(T93:AD93)</f>
        <v>70000</v>
      </c>
      <c r="AF93" s="24" t="s">
        <v>655</v>
      </c>
    </row>
    <row r="94" spans="1:32" ht="34.200000000000003" customHeight="1" x14ac:dyDescent="0.3">
      <c r="A94" s="1116"/>
      <c r="B94" s="1153"/>
      <c r="C94" s="1137"/>
      <c r="D94" s="274" t="s">
        <v>612</v>
      </c>
      <c r="E94" s="23">
        <f>+S94+AE94</f>
        <v>836000</v>
      </c>
      <c r="F94" s="23">
        <v>0</v>
      </c>
      <c r="G94" s="82">
        <f>+E94+F94</f>
        <v>836000</v>
      </c>
      <c r="H94" s="73"/>
      <c r="I94" s="73"/>
      <c r="J94" s="73"/>
      <c r="K94" s="73"/>
      <c r="L94" s="73"/>
      <c r="M94" s="73"/>
      <c r="N94" s="569"/>
      <c r="O94" s="73"/>
      <c r="P94" s="73"/>
      <c r="Q94" s="73">
        <v>75000</v>
      </c>
      <c r="R94" s="73">
        <v>75000</v>
      </c>
      <c r="S94" s="57">
        <f>SUM(H94:R94)</f>
        <v>150000</v>
      </c>
      <c r="T94" s="73">
        <v>75000</v>
      </c>
      <c r="U94" s="73">
        <v>75000</v>
      </c>
      <c r="V94" s="73">
        <v>75000</v>
      </c>
      <c r="W94" s="73">
        <v>75000</v>
      </c>
      <c r="X94" s="73">
        <v>75000</v>
      </c>
      <c r="Y94" s="73">
        <v>75000</v>
      </c>
      <c r="Z94" s="73">
        <v>75000</v>
      </c>
      <c r="AA94" s="73">
        <v>75000</v>
      </c>
      <c r="AB94" s="73">
        <v>50000</v>
      </c>
      <c r="AC94" s="73">
        <v>36000</v>
      </c>
      <c r="AD94" s="73"/>
      <c r="AE94" s="74">
        <f>SUM(T94:AD94)</f>
        <v>686000</v>
      </c>
      <c r="AF94" s="24" t="s">
        <v>655</v>
      </c>
    </row>
    <row r="95" spans="1:32" ht="19.5" customHeight="1" x14ac:dyDescent="0.3">
      <c r="A95" s="1116"/>
      <c r="B95" s="1152" t="s">
        <v>8</v>
      </c>
      <c r="C95" s="1135" t="s">
        <v>613</v>
      </c>
      <c r="D95" s="278"/>
      <c r="E95" s="112">
        <f>SUM(E96:E99)</f>
        <v>618595.48</v>
      </c>
      <c r="F95" s="112">
        <f t="shared" ref="F95:AE95" si="41">SUM(F96:F99)</f>
        <v>0</v>
      </c>
      <c r="G95" s="112">
        <f t="shared" si="41"/>
        <v>618595.48</v>
      </c>
      <c r="H95" s="112">
        <f t="shared" si="41"/>
        <v>0</v>
      </c>
      <c r="I95" s="112">
        <f t="shared" si="41"/>
        <v>0</v>
      </c>
      <c r="J95" s="112">
        <f t="shared" si="41"/>
        <v>0</v>
      </c>
      <c r="K95" s="112">
        <f t="shared" si="41"/>
        <v>25000</v>
      </c>
      <c r="L95" s="112">
        <f t="shared" si="41"/>
        <v>25000</v>
      </c>
      <c r="M95" s="112">
        <f t="shared" si="41"/>
        <v>0</v>
      </c>
      <c r="N95" s="112">
        <f t="shared" si="41"/>
        <v>131714.66</v>
      </c>
      <c r="O95" s="112">
        <f t="shared" si="41"/>
        <v>65000</v>
      </c>
      <c r="P95" s="112">
        <f t="shared" si="41"/>
        <v>0</v>
      </c>
      <c r="Q95" s="112">
        <f t="shared" si="41"/>
        <v>45000</v>
      </c>
      <c r="R95" s="112">
        <f t="shared" si="41"/>
        <v>45000</v>
      </c>
      <c r="S95" s="112">
        <f t="shared" si="41"/>
        <v>336714.66000000003</v>
      </c>
      <c r="T95" s="112">
        <f t="shared" si="41"/>
        <v>0</v>
      </c>
      <c r="U95" s="112">
        <f t="shared" si="41"/>
        <v>90000</v>
      </c>
      <c r="V95" s="112">
        <f t="shared" si="41"/>
        <v>0</v>
      </c>
      <c r="W95" s="112">
        <f t="shared" si="41"/>
        <v>90000</v>
      </c>
      <c r="X95" s="112">
        <f t="shared" si="41"/>
        <v>0</v>
      </c>
      <c r="Y95" s="112">
        <f t="shared" si="41"/>
        <v>101880.82</v>
      </c>
      <c r="Z95" s="112">
        <f t="shared" si="41"/>
        <v>0</v>
      </c>
      <c r="AA95" s="112">
        <f t="shared" si="41"/>
        <v>0</v>
      </c>
      <c r="AB95" s="112">
        <f t="shared" si="41"/>
        <v>0</v>
      </c>
      <c r="AC95" s="112">
        <f t="shared" si="41"/>
        <v>0</v>
      </c>
      <c r="AD95" s="112">
        <f t="shared" si="41"/>
        <v>0</v>
      </c>
      <c r="AE95" s="112">
        <f t="shared" si="41"/>
        <v>281880.82</v>
      </c>
      <c r="AF95" s="268"/>
    </row>
    <row r="96" spans="1:32" ht="22.5" customHeight="1" x14ac:dyDescent="0.3">
      <c r="A96" s="1116"/>
      <c r="B96" s="1198"/>
      <c r="C96" s="1136"/>
      <c r="D96" s="273" t="s">
        <v>614</v>
      </c>
      <c r="E96" s="23">
        <f>+S96+AE96</f>
        <v>65500</v>
      </c>
      <c r="F96" s="23">
        <v>0</v>
      </c>
      <c r="G96" s="82">
        <f>+E96+F96</f>
        <v>65500</v>
      </c>
      <c r="H96" s="73"/>
      <c r="I96" s="73"/>
      <c r="J96" s="73"/>
      <c r="K96" s="73"/>
      <c r="L96" s="73"/>
      <c r="M96" s="73"/>
      <c r="N96" s="569">
        <v>65500</v>
      </c>
      <c r="O96" s="73"/>
      <c r="P96" s="73"/>
      <c r="Q96" s="73"/>
      <c r="R96" s="73"/>
      <c r="S96" s="57">
        <f>SUM(H96:R96)</f>
        <v>65500</v>
      </c>
      <c r="T96" s="73"/>
      <c r="U96" s="73"/>
      <c r="V96" s="73"/>
      <c r="W96" s="73"/>
      <c r="X96" s="73"/>
      <c r="Y96" s="73"/>
      <c r="Z96" s="73"/>
      <c r="AA96" s="73"/>
      <c r="AB96" s="73"/>
      <c r="AC96" s="73"/>
      <c r="AD96" s="73"/>
      <c r="AE96" s="74">
        <f>SUM(T96:AD96)</f>
        <v>0</v>
      </c>
      <c r="AF96" s="24" t="s">
        <v>655</v>
      </c>
    </row>
    <row r="97" spans="1:32" ht="29.25" customHeight="1" x14ac:dyDescent="0.3">
      <c r="A97" s="1116"/>
      <c r="B97" s="1198"/>
      <c r="C97" s="1136"/>
      <c r="D97" s="274" t="s">
        <v>615</v>
      </c>
      <c r="E97" s="23">
        <f>+S97+AE97</f>
        <v>25000</v>
      </c>
      <c r="F97" s="23">
        <v>0</v>
      </c>
      <c r="G97" s="82">
        <f>+E97+F97</f>
        <v>25000</v>
      </c>
      <c r="H97" s="73"/>
      <c r="I97" s="73"/>
      <c r="J97" s="73"/>
      <c r="K97" s="73"/>
      <c r="L97" s="73"/>
      <c r="M97" s="73"/>
      <c r="N97" s="569"/>
      <c r="O97" s="73">
        <v>25000</v>
      </c>
      <c r="P97" s="73"/>
      <c r="Q97" s="73"/>
      <c r="R97" s="73"/>
      <c r="S97" s="57">
        <f>SUM(H97:R97)</f>
        <v>25000</v>
      </c>
      <c r="T97" s="73"/>
      <c r="U97" s="73"/>
      <c r="V97" s="73"/>
      <c r="W97" s="73"/>
      <c r="X97" s="73"/>
      <c r="Y97" s="73"/>
      <c r="Z97" s="73"/>
      <c r="AA97" s="73"/>
      <c r="AB97" s="73"/>
      <c r="AC97" s="73"/>
      <c r="AD97" s="73"/>
      <c r="AE97" s="74">
        <f>SUM(T97:AD97)</f>
        <v>0</v>
      </c>
      <c r="AF97" s="24" t="s">
        <v>655</v>
      </c>
    </row>
    <row r="98" spans="1:32" ht="36.6" customHeight="1" x14ac:dyDescent="0.3">
      <c r="A98" s="1116"/>
      <c r="B98" s="1198"/>
      <c r="C98" s="1136"/>
      <c r="D98" s="274" t="s">
        <v>654</v>
      </c>
      <c r="E98" s="23">
        <f>+S98+AE98</f>
        <v>528095.48</v>
      </c>
      <c r="F98" s="23">
        <v>0</v>
      </c>
      <c r="G98" s="82">
        <f>+E98+F98</f>
        <v>528095.48</v>
      </c>
      <c r="H98" s="73"/>
      <c r="I98" s="73"/>
      <c r="J98" s="73"/>
      <c r="K98" s="73">
        <v>25000</v>
      </c>
      <c r="L98" s="73">
        <v>25000</v>
      </c>
      <c r="M98" s="73"/>
      <c r="N98" s="569">
        <v>66214.66</v>
      </c>
      <c r="O98" s="73">
        <v>40000</v>
      </c>
      <c r="P98" s="73"/>
      <c r="Q98" s="73">
        <v>45000</v>
      </c>
      <c r="R98" s="73">
        <v>45000</v>
      </c>
      <c r="S98" s="57">
        <f>SUM(H98:R98)</f>
        <v>246214.66</v>
      </c>
      <c r="T98" s="73"/>
      <c r="U98" s="73">
        <v>90000</v>
      </c>
      <c r="V98" s="73"/>
      <c r="W98" s="73">
        <v>90000</v>
      </c>
      <c r="X98" s="73"/>
      <c r="Y98" s="73">
        <v>101880.82</v>
      </c>
      <c r="Z98" s="73"/>
      <c r="AA98" s="73"/>
      <c r="AB98" s="73"/>
      <c r="AC98" s="73"/>
      <c r="AD98" s="73"/>
      <c r="AE98" s="74">
        <f>SUM(T98:AD98)</f>
        <v>281880.82</v>
      </c>
      <c r="AF98" s="24" t="s">
        <v>655</v>
      </c>
    </row>
    <row r="99" spans="1:32" ht="25.5" customHeight="1" x14ac:dyDescent="0.3">
      <c r="A99" s="1115"/>
      <c r="B99" s="1153"/>
      <c r="C99" s="1137"/>
      <c r="D99" s="274"/>
      <c r="E99" s="23">
        <f>+S99+AE99</f>
        <v>0</v>
      </c>
      <c r="F99" s="23">
        <v>0</v>
      </c>
      <c r="G99" s="82">
        <f>+E99+F99</f>
        <v>0</v>
      </c>
      <c r="H99" s="73"/>
      <c r="I99" s="73"/>
      <c r="J99" s="73"/>
      <c r="K99" s="73"/>
      <c r="L99" s="73"/>
      <c r="M99" s="73"/>
      <c r="N99" s="73"/>
      <c r="O99" s="73"/>
      <c r="P99" s="73"/>
      <c r="Q99" s="73"/>
      <c r="R99" s="73"/>
      <c r="S99" s="57">
        <f>SUM(H99:R99)</f>
        <v>0</v>
      </c>
      <c r="T99" s="73"/>
      <c r="U99" s="73"/>
      <c r="V99" s="73"/>
      <c r="W99" s="73"/>
      <c r="X99" s="73"/>
      <c r="Y99" s="73"/>
      <c r="Z99" s="73"/>
      <c r="AA99" s="73"/>
      <c r="AB99" s="73"/>
      <c r="AC99" s="73"/>
      <c r="AD99" s="73"/>
      <c r="AE99" s="74">
        <f>SUM(T99:AD99)</f>
        <v>0</v>
      </c>
      <c r="AF99" s="24" t="s">
        <v>655</v>
      </c>
    </row>
    <row r="100" spans="1:32" x14ac:dyDescent="0.3">
      <c r="A100" s="1094" t="s">
        <v>99</v>
      </c>
      <c r="B100" s="266"/>
      <c r="C100" s="272"/>
      <c r="D100" s="272"/>
      <c r="E100" s="267">
        <f>+E101+E105+E108</f>
        <v>0</v>
      </c>
      <c r="F100" s="267">
        <f t="shared" ref="F100:AE100" si="42">+F101+F105+F108</f>
        <v>2212960</v>
      </c>
      <c r="G100" s="267">
        <f t="shared" si="42"/>
        <v>2212960</v>
      </c>
      <c r="H100" s="267">
        <f t="shared" si="42"/>
        <v>0</v>
      </c>
      <c r="I100" s="267">
        <f t="shared" si="42"/>
        <v>0</v>
      </c>
      <c r="J100" s="267">
        <f t="shared" si="42"/>
        <v>0</v>
      </c>
      <c r="K100" s="267">
        <f t="shared" si="42"/>
        <v>100000</v>
      </c>
      <c r="L100" s="267">
        <f t="shared" si="42"/>
        <v>86600</v>
      </c>
      <c r="M100" s="267">
        <f t="shared" si="42"/>
        <v>0</v>
      </c>
      <c r="N100" s="267">
        <f t="shared" si="42"/>
        <v>442720</v>
      </c>
      <c r="O100" s="267">
        <f t="shared" si="42"/>
        <v>879320</v>
      </c>
      <c r="P100" s="267">
        <f t="shared" si="42"/>
        <v>0</v>
      </c>
      <c r="Q100" s="267">
        <f t="shared" si="42"/>
        <v>629320</v>
      </c>
      <c r="R100" s="267">
        <f t="shared" si="42"/>
        <v>0</v>
      </c>
      <c r="S100" s="267">
        <f t="shared" si="42"/>
        <v>2137960</v>
      </c>
      <c r="T100" s="267">
        <f t="shared" si="42"/>
        <v>0</v>
      </c>
      <c r="U100" s="267">
        <f t="shared" si="42"/>
        <v>75000</v>
      </c>
      <c r="V100" s="267">
        <f t="shared" si="42"/>
        <v>0</v>
      </c>
      <c r="W100" s="267">
        <f t="shared" si="42"/>
        <v>0</v>
      </c>
      <c r="X100" s="267">
        <f t="shared" si="42"/>
        <v>0</v>
      </c>
      <c r="Y100" s="267">
        <f t="shared" si="42"/>
        <v>0</v>
      </c>
      <c r="Z100" s="267">
        <f t="shared" si="42"/>
        <v>0</v>
      </c>
      <c r="AA100" s="267">
        <f t="shared" si="42"/>
        <v>0</v>
      </c>
      <c r="AB100" s="267">
        <f t="shared" si="42"/>
        <v>0</v>
      </c>
      <c r="AC100" s="267">
        <f t="shared" si="42"/>
        <v>0</v>
      </c>
      <c r="AD100" s="267">
        <f t="shared" si="42"/>
        <v>0</v>
      </c>
      <c r="AE100" s="267">
        <f t="shared" si="42"/>
        <v>75000</v>
      </c>
      <c r="AF100" s="266"/>
    </row>
    <row r="101" spans="1:32" x14ac:dyDescent="0.3">
      <c r="A101" s="1094"/>
      <c r="B101" s="1154" t="s">
        <v>2</v>
      </c>
      <c r="C101" s="1135" t="s">
        <v>487</v>
      </c>
      <c r="D101" s="277"/>
      <c r="E101" s="112">
        <f>SUM(E102:E104)</f>
        <v>0</v>
      </c>
      <c r="F101" s="287">
        <f>SUM(G102:G104)</f>
        <v>954320</v>
      </c>
      <c r="G101" s="287">
        <f t="shared" ref="G101:AE101" si="43">SUM(G102:G104)</f>
        <v>954320</v>
      </c>
      <c r="H101" s="112">
        <f t="shared" si="43"/>
        <v>0</v>
      </c>
      <c r="I101" s="112">
        <f t="shared" si="43"/>
        <v>0</v>
      </c>
      <c r="J101" s="112">
        <f t="shared" si="43"/>
        <v>0</v>
      </c>
      <c r="K101" s="112">
        <f t="shared" si="43"/>
        <v>100000</v>
      </c>
      <c r="L101" s="112">
        <f t="shared" si="43"/>
        <v>86600</v>
      </c>
      <c r="M101" s="112">
        <f t="shared" si="43"/>
        <v>0</v>
      </c>
      <c r="N101" s="112">
        <f t="shared" si="43"/>
        <v>442720</v>
      </c>
      <c r="O101" s="112">
        <f t="shared" si="43"/>
        <v>250000</v>
      </c>
      <c r="P101" s="112">
        <f t="shared" si="43"/>
        <v>0</v>
      </c>
      <c r="Q101" s="112">
        <f t="shared" si="43"/>
        <v>0</v>
      </c>
      <c r="R101" s="112">
        <f t="shared" si="43"/>
        <v>0</v>
      </c>
      <c r="S101" s="112">
        <f t="shared" si="43"/>
        <v>879320</v>
      </c>
      <c r="T101" s="112">
        <f t="shared" si="43"/>
        <v>0</v>
      </c>
      <c r="U101" s="112">
        <f t="shared" si="43"/>
        <v>75000</v>
      </c>
      <c r="V101" s="112">
        <f t="shared" si="43"/>
        <v>0</v>
      </c>
      <c r="W101" s="112">
        <f t="shared" si="43"/>
        <v>0</v>
      </c>
      <c r="X101" s="112">
        <f t="shared" si="43"/>
        <v>0</v>
      </c>
      <c r="Y101" s="112">
        <f t="shared" si="43"/>
        <v>0</v>
      </c>
      <c r="Z101" s="112">
        <f t="shared" si="43"/>
        <v>0</v>
      </c>
      <c r="AA101" s="112">
        <f t="shared" si="43"/>
        <v>0</v>
      </c>
      <c r="AB101" s="112">
        <f t="shared" si="43"/>
        <v>0</v>
      </c>
      <c r="AC101" s="112">
        <f t="shared" si="43"/>
        <v>0</v>
      </c>
      <c r="AD101" s="112">
        <f t="shared" si="43"/>
        <v>0</v>
      </c>
      <c r="AE101" s="112">
        <f t="shared" si="43"/>
        <v>75000</v>
      </c>
      <c r="AF101" s="268"/>
    </row>
    <row r="102" spans="1:32" ht="28.8" x14ac:dyDescent="0.3">
      <c r="A102" s="1094"/>
      <c r="B102" s="1155"/>
      <c r="C102" s="1136"/>
      <c r="D102" s="273" t="s">
        <v>254</v>
      </c>
      <c r="E102" s="23">
        <v>0</v>
      </c>
      <c r="F102" s="23">
        <f>+S102+AE102</f>
        <v>186600</v>
      </c>
      <c r="G102" s="82">
        <f>+E102+F102</f>
        <v>186600</v>
      </c>
      <c r="H102" s="73"/>
      <c r="I102" s="73"/>
      <c r="J102" s="73"/>
      <c r="K102" s="73">
        <v>100000</v>
      </c>
      <c r="L102" s="73">
        <v>86600</v>
      </c>
      <c r="M102" s="73"/>
      <c r="N102" s="73"/>
      <c r="O102" s="73"/>
      <c r="P102" s="73"/>
      <c r="Q102" s="73"/>
      <c r="R102" s="73"/>
      <c r="S102" s="57">
        <f>SUM(H102:R102)</f>
        <v>186600</v>
      </c>
      <c r="T102" s="73"/>
      <c r="U102" s="73"/>
      <c r="V102" s="73"/>
      <c r="W102" s="73"/>
      <c r="X102" s="73"/>
      <c r="Y102" s="73"/>
      <c r="Z102" s="73"/>
      <c r="AA102" s="73"/>
      <c r="AB102" s="73"/>
      <c r="AC102" s="73"/>
      <c r="AD102" s="73"/>
      <c r="AE102" s="74">
        <f>SUM(T102:AD102)</f>
        <v>0</v>
      </c>
      <c r="AF102" s="24" t="s">
        <v>240</v>
      </c>
    </row>
    <row r="103" spans="1:32" ht="34.950000000000003" customHeight="1" x14ac:dyDescent="0.3">
      <c r="A103" s="1094"/>
      <c r="B103" s="1155"/>
      <c r="C103" s="1136"/>
      <c r="D103" s="273" t="s">
        <v>255</v>
      </c>
      <c r="E103" s="23">
        <v>0</v>
      </c>
      <c r="F103" s="23">
        <f>+S103+AE103</f>
        <v>325000</v>
      </c>
      <c r="G103" s="82">
        <f>+E103+F103</f>
        <v>325000</v>
      </c>
      <c r="H103" s="73"/>
      <c r="I103" s="73"/>
      <c r="J103" s="73"/>
      <c r="K103" s="73"/>
      <c r="L103" s="73"/>
      <c r="M103" s="73"/>
      <c r="O103" s="73">
        <v>250000</v>
      </c>
      <c r="P103" s="73"/>
      <c r="Q103" s="73"/>
      <c r="R103" s="73"/>
      <c r="S103" s="57">
        <f t="shared" ref="S103:S110" si="44">SUM(H103:R103)</f>
        <v>250000</v>
      </c>
      <c r="T103" s="73"/>
      <c r="U103" s="73">
        <v>75000</v>
      </c>
      <c r="V103" s="73"/>
      <c r="W103" s="73"/>
      <c r="X103" s="73"/>
      <c r="Y103" s="73"/>
      <c r="Z103" s="73"/>
      <c r="AA103" s="73"/>
      <c r="AB103" s="73"/>
      <c r="AC103" s="73"/>
      <c r="AD103" s="73"/>
      <c r="AE103" s="74">
        <f t="shared" ref="AE103:AE110" si="45">SUM(T103:AD103)</f>
        <v>75000</v>
      </c>
      <c r="AF103" s="24" t="s">
        <v>240</v>
      </c>
    </row>
    <row r="104" spans="1:32" ht="42" customHeight="1" x14ac:dyDescent="0.3">
      <c r="A104" s="1094"/>
      <c r="B104" s="1156"/>
      <c r="C104" s="1137"/>
      <c r="D104" s="273" t="s">
        <v>256</v>
      </c>
      <c r="E104" s="23">
        <v>0</v>
      </c>
      <c r="F104" s="23">
        <f>+S104+AE104</f>
        <v>442720</v>
      </c>
      <c r="G104" s="82">
        <f>+E104+F104</f>
        <v>442720</v>
      </c>
      <c r="H104" s="73"/>
      <c r="I104" s="73"/>
      <c r="J104" s="73"/>
      <c r="K104" s="73"/>
      <c r="L104" s="73"/>
      <c r="M104" s="73"/>
      <c r="N104" s="569">
        <v>442720</v>
      </c>
      <c r="O104" s="73"/>
      <c r="P104" s="73"/>
      <c r="Q104" s="73"/>
      <c r="R104" s="73"/>
      <c r="S104" s="57">
        <f t="shared" si="44"/>
        <v>442720</v>
      </c>
      <c r="T104" s="73"/>
      <c r="U104" s="73"/>
      <c r="V104" s="73"/>
      <c r="W104" s="73"/>
      <c r="X104" s="73"/>
      <c r="Y104" s="73"/>
      <c r="Z104" s="73"/>
      <c r="AA104" s="73"/>
      <c r="AB104" s="73"/>
      <c r="AC104" s="73"/>
      <c r="AD104" s="73"/>
      <c r="AE104" s="74">
        <f t="shared" si="45"/>
        <v>0</v>
      </c>
      <c r="AF104" s="24" t="s">
        <v>240</v>
      </c>
    </row>
    <row r="105" spans="1:32" x14ac:dyDescent="0.3">
      <c r="A105" s="1094"/>
      <c r="B105" s="1152" t="s">
        <v>3</v>
      </c>
      <c r="C105" s="1135" t="s">
        <v>488</v>
      </c>
      <c r="D105" s="277"/>
      <c r="E105" s="112">
        <f>SUM(E106:E107)</f>
        <v>0</v>
      </c>
      <c r="F105" s="287">
        <f t="shared" ref="F105:AE105" si="46">SUM(F106:F107)</f>
        <v>629320</v>
      </c>
      <c r="G105" s="287">
        <f t="shared" si="46"/>
        <v>629320</v>
      </c>
      <c r="H105" s="112">
        <f t="shared" si="46"/>
        <v>0</v>
      </c>
      <c r="I105" s="112">
        <f t="shared" si="46"/>
        <v>0</v>
      </c>
      <c r="J105" s="112">
        <f t="shared" si="46"/>
        <v>0</v>
      </c>
      <c r="K105" s="112">
        <f t="shared" si="46"/>
        <v>0</v>
      </c>
      <c r="L105" s="112">
        <f t="shared" si="46"/>
        <v>0</v>
      </c>
      <c r="M105" s="112">
        <f t="shared" si="46"/>
        <v>0</v>
      </c>
      <c r="N105" s="112">
        <f t="shared" si="46"/>
        <v>0</v>
      </c>
      <c r="O105" s="112">
        <f t="shared" si="46"/>
        <v>629320</v>
      </c>
      <c r="P105" s="112">
        <f t="shared" si="46"/>
        <v>0</v>
      </c>
      <c r="Q105" s="112">
        <f t="shared" si="46"/>
        <v>0</v>
      </c>
      <c r="R105" s="112">
        <f t="shared" si="46"/>
        <v>0</v>
      </c>
      <c r="S105" s="112">
        <f t="shared" si="46"/>
        <v>629320</v>
      </c>
      <c r="T105" s="112">
        <f t="shared" si="46"/>
        <v>0</v>
      </c>
      <c r="U105" s="112">
        <f t="shared" si="46"/>
        <v>0</v>
      </c>
      <c r="V105" s="112">
        <f t="shared" si="46"/>
        <v>0</v>
      </c>
      <c r="W105" s="112">
        <f t="shared" si="46"/>
        <v>0</v>
      </c>
      <c r="X105" s="112">
        <f t="shared" si="46"/>
        <v>0</v>
      </c>
      <c r="Y105" s="112">
        <f t="shared" si="46"/>
        <v>0</v>
      </c>
      <c r="Z105" s="112">
        <f t="shared" si="46"/>
        <v>0</v>
      </c>
      <c r="AA105" s="112">
        <f t="shared" si="46"/>
        <v>0</v>
      </c>
      <c r="AB105" s="112">
        <f t="shared" si="46"/>
        <v>0</v>
      </c>
      <c r="AC105" s="112">
        <f t="shared" si="46"/>
        <v>0</v>
      </c>
      <c r="AD105" s="112">
        <f t="shared" si="46"/>
        <v>0</v>
      </c>
      <c r="AE105" s="112">
        <f t="shared" si="46"/>
        <v>0</v>
      </c>
      <c r="AF105" s="268"/>
    </row>
    <row r="106" spans="1:32" ht="33.6" customHeight="1" x14ac:dyDescent="0.3">
      <c r="A106" s="1094"/>
      <c r="B106" s="1198"/>
      <c r="C106" s="1136"/>
      <c r="D106" s="273" t="s">
        <v>254</v>
      </c>
      <c r="E106" s="23">
        <v>0</v>
      </c>
      <c r="F106" s="23">
        <f>+S106+AE106</f>
        <v>186600</v>
      </c>
      <c r="G106" s="82">
        <f>+E106+F106</f>
        <v>186600</v>
      </c>
      <c r="H106" s="73"/>
      <c r="I106" s="73"/>
      <c r="J106" s="73"/>
      <c r="K106" s="73"/>
      <c r="L106" s="73"/>
      <c r="M106" s="73"/>
      <c r="N106" s="73"/>
      <c r="O106" s="73">
        <v>186600</v>
      </c>
      <c r="P106" s="73"/>
      <c r="Q106" s="73"/>
      <c r="R106" s="73"/>
      <c r="S106" s="57">
        <f t="shared" si="44"/>
        <v>186600</v>
      </c>
      <c r="T106" s="73"/>
      <c r="U106" s="73"/>
      <c r="V106" s="73"/>
      <c r="W106" s="73"/>
      <c r="X106" s="73"/>
      <c r="Y106" s="73"/>
      <c r="Z106" s="73"/>
      <c r="AA106" s="73"/>
      <c r="AB106" s="73"/>
      <c r="AC106" s="73"/>
      <c r="AD106" s="73"/>
      <c r="AE106" s="74">
        <f t="shared" si="45"/>
        <v>0</v>
      </c>
      <c r="AF106" s="24" t="s">
        <v>240</v>
      </c>
    </row>
    <row r="107" spans="1:32" ht="42" customHeight="1" x14ac:dyDescent="0.3">
      <c r="A107" s="1094"/>
      <c r="B107" s="1153"/>
      <c r="C107" s="1137"/>
      <c r="D107" s="273" t="s">
        <v>256</v>
      </c>
      <c r="E107" s="23">
        <v>0</v>
      </c>
      <c r="F107" s="23">
        <f>+S107+AE107</f>
        <v>442720</v>
      </c>
      <c r="G107" s="82">
        <f>+E107+F107</f>
        <v>442720</v>
      </c>
      <c r="H107" s="73"/>
      <c r="I107" s="73"/>
      <c r="J107" s="73"/>
      <c r="K107" s="73"/>
      <c r="L107" s="73"/>
      <c r="M107" s="73"/>
      <c r="N107" s="73"/>
      <c r="O107" s="73">
        <v>442720</v>
      </c>
      <c r="P107" s="73"/>
      <c r="Q107" s="73"/>
      <c r="R107" s="73"/>
      <c r="S107" s="57">
        <f t="shared" si="44"/>
        <v>442720</v>
      </c>
      <c r="T107" s="73"/>
      <c r="U107" s="73"/>
      <c r="V107" s="73"/>
      <c r="W107" s="73"/>
      <c r="X107" s="73"/>
      <c r="Y107" s="73"/>
      <c r="Z107" s="73"/>
      <c r="AA107" s="73"/>
      <c r="AB107" s="73"/>
      <c r="AC107" s="73"/>
      <c r="AD107" s="73"/>
      <c r="AE107" s="74">
        <f t="shared" si="45"/>
        <v>0</v>
      </c>
      <c r="AF107" s="24" t="s">
        <v>240</v>
      </c>
    </row>
    <row r="108" spans="1:32" x14ac:dyDescent="0.3">
      <c r="A108" s="1094"/>
      <c r="B108" s="1152" t="s">
        <v>4</v>
      </c>
      <c r="C108" s="1132" t="s">
        <v>489</v>
      </c>
      <c r="D108" s="277"/>
      <c r="E108" s="112">
        <f>SUM(E109:E110)</f>
        <v>0</v>
      </c>
      <c r="F108" s="287">
        <f t="shared" ref="F108:AE108" si="47">SUM(F109:F110)</f>
        <v>629320</v>
      </c>
      <c r="G108" s="287">
        <f t="shared" si="47"/>
        <v>629320</v>
      </c>
      <c r="H108" s="112">
        <f t="shared" si="47"/>
        <v>0</v>
      </c>
      <c r="I108" s="112">
        <f t="shared" si="47"/>
        <v>0</v>
      </c>
      <c r="J108" s="112">
        <f t="shared" si="47"/>
        <v>0</v>
      </c>
      <c r="K108" s="112">
        <f t="shared" si="47"/>
        <v>0</v>
      </c>
      <c r="L108" s="112">
        <f t="shared" si="47"/>
        <v>0</v>
      </c>
      <c r="M108" s="112">
        <f t="shared" si="47"/>
        <v>0</v>
      </c>
      <c r="N108" s="112">
        <f t="shared" si="47"/>
        <v>0</v>
      </c>
      <c r="O108" s="112">
        <f t="shared" si="47"/>
        <v>0</v>
      </c>
      <c r="P108" s="112">
        <f t="shared" si="47"/>
        <v>0</v>
      </c>
      <c r="Q108" s="112">
        <f t="shared" si="47"/>
        <v>629320</v>
      </c>
      <c r="R108" s="112">
        <f t="shared" si="47"/>
        <v>0</v>
      </c>
      <c r="S108" s="112">
        <f t="shared" si="47"/>
        <v>629320</v>
      </c>
      <c r="T108" s="112">
        <f t="shared" si="47"/>
        <v>0</v>
      </c>
      <c r="U108" s="112">
        <f t="shared" si="47"/>
        <v>0</v>
      </c>
      <c r="V108" s="112">
        <f t="shared" si="47"/>
        <v>0</v>
      </c>
      <c r="W108" s="112">
        <f t="shared" si="47"/>
        <v>0</v>
      </c>
      <c r="X108" s="112">
        <f t="shared" si="47"/>
        <v>0</v>
      </c>
      <c r="Y108" s="112">
        <f t="shared" si="47"/>
        <v>0</v>
      </c>
      <c r="Z108" s="112">
        <f t="shared" si="47"/>
        <v>0</v>
      </c>
      <c r="AA108" s="112">
        <f t="shared" si="47"/>
        <v>0</v>
      </c>
      <c r="AB108" s="112">
        <f t="shared" si="47"/>
        <v>0</v>
      </c>
      <c r="AC108" s="112">
        <f t="shared" si="47"/>
        <v>0</v>
      </c>
      <c r="AD108" s="112">
        <f t="shared" si="47"/>
        <v>0</v>
      </c>
      <c r="AE108" s="112">
        <f t="shared" si="47"/>
        <v>0</v>
      </c>
      <c r="AF108" s="268"/>
    </row>
    <row r="109" spans="1:32" ht="28.8" x14ac:dyDescent="0.3">
      <c r="A109" s="1094"/>
      <c r="B109" s="1198"/>
      <c r="C109" s="1133"/>
      <c r="D109" s="274" t="s">
        <v>254</v>
      </c>
      <c r="E109" s="23">
        <v>0</v>
      </c>
      <c r="F109" s="23">
        <f>+S109+AE109</f>
        <v>186600</v>
      </c>
      <c r="G109" s="82">
        <f>+E109+F109</f>
        <v>186600</v>
      </c>
      <c r="H109" s="73"/>
      <c r="I109" s="73"/>
      <c r="J109" s="73"/>
      <c r="K109" s="73"/>
      <c r="L109" s="73"/>
      <c r="M109" s="73"/>
      <c r="N109" s="73"/>
      <c r="O109" s="73"/>
      <c r="P109" s="73"/>
      <c r="Q109" s="73">
        <v>186600</v>
      </c>
      <c r="R109" s="73"/>
      <c r="S109" s="57">
        <f t="shared" si="44"/>
        <v>186600</v>
      </c>
      <c r="T109" s="73"/>
      <c r="U109" s="73"/>
      <c r="V109" s="73"/>
      <c r="W109" s="73"/>
      <c r="X109" s="73"/>
      <c r="Y109" s="73"/>
      <c r="Z109" s="73"/>
      <c r="AA109" s="73"/>
      <c r="AB109" s="73"/>
      <c r="AC109" s="73"/>
      <c r="AD109" s="73"/>
      <c r="AE109" s="74">
        <f t="shared" si="45"/>
        <v>0</v>
      </c>
      <c r="AF109" s="24" t="s">
        <v>240</v>
      </c>
    </row>
    <row r="110" spans="1:32" ht="28.8" x14ac:dyDescent="0.3">
      <c r="A110" s="1094"/>
      <c r="B110" s="1153"/>
      <c r="C110" s="1134"/>
      <c r="D110" s="274" t="s">
        <v>256</v>
      </c>
      <c r="E110" s="23">
        <v>0</v>
      </c>
      <c r="F110" s="23">
        <f>+S110+AE110</f>
        <v>442720</v>
      </c>
      <c r="G110" s="82">
        <f>+E110+F110</f>
        <v>442720</v>
      </c>
      <c r="H110" s="73"/>
      <c r="I110" s="73"/>
      <c r="J110" s="73"/>
      <c r="K110" s="73"/>
      <c r="L110" s="73"/>
      <c r="M110" s="73"/>
      <c r="N110" s="73"/>
      <c r="O110" s="73"/>
      <c r="P110" s="73"/>
      <c r="Q110" s="73">
        <v>442720</v>
      </c>
      <c r="R110" s="73"/>
      <c r="S110" s="57">
        <f t="shared" si="44"/>
        <v>442720</v>
      </c>
      <c r="T110" s="73"/>
      <c r="U110" s="73"/>
      <c r="V110" s="73"/>
      <c r="W110" s="73"/>
      <c r="X110" s="73"/>
      <c r="Y110" s="73"/>
      <c r="Z110" s="73"/>
      <c r="AA110" s="73"/>
      <c r="AB110" s="73"/>
      <c r="AC110" s="73"/>
      <c r="AD110" s="73"/>
      <c r="AE110" s="74">
        <f t="shared" si="45"/>
        <v>0</v>
      </c>
      <c r="AF110" s="24" t="s">
        <v>240</v>
      </c>
    </row>
    <row r="111" spans="1:32" s="67" customFormat="1" ht="37.5" customHeight="1" x14ac:dyDescent="0.3">
      <c r="A111" s="282" t="s">
        <v>250</v>
      </c>
      <c r="B111" s="283"/>
      <c r="C111" s="284"/>
      <c r="D111" s="284"/>
      <c r="E111" s="283"/>
      <c r="F111" s="283"/>
      <c r="G111" s="285"/>
      <c r="H111" s="222"/>
      <c r="I111" s="222"/>
      <c r="J111" s="222"/>
      <c r="K111" s="222"/>
      <c r="L111" s="222"/>
      <c r="M111" s="222"/>
      <c r="N111" s="222"/>
      <c r="O111" s="222"/>
      <c r="P111" s="222"/>
      <c r="Q111" s="222"/>
      <c r="R111" s="222"/>
      <c r="S111" s="222"/>
      <c r="T111" s="222"/>
      <c r="U111" s="222"/>
      <c r="V111" s="222"/>
      <c r="W111" s="222"/>
      <c r="X111" s="222"/>
      <c r="Y111" s="222"/>
      <c r="Z111" s="222"/>
      <c r="AA111" s="222"/>
      <c r="AB111" s="222"/>
      <c r="AC111" s="222"/>
      <c r="AD111" s="222"/>
      <c r="AE111" s="222"/>
      <c r="AF111" s="223"/>
    </row>
    <row r="112" spans="1:32" x14ac:dyDescent="0.3">
      <c r="A112" s="1094" t="s">
        <v>100</v>
      </c>
      <c r="B112" s="266"/>
      <c r="C112" s="272"/>
      <c r="D112" s="272"/>
      <c r="E112" s="267">
        <f>+E113+E116+E120</f>
        <v>165000</v>
      </c>
      <c r="F112" s="267">
        <f t="shared" ref="F112:AE112" si="48">+F113+F116+F120</f>
        <v>1340530</v>
      </c>
      <c r="G112" s="267">
        <f t="shared" si="48"/>
        <v>1505530</v>
      </c>
      <c r="H112" s="267">
        <f t="shared" si="48"/>
        <v>0</v>
      </c>
      <c r="I112" s="267">
        <f t="shared" si="48"/>
        <v>0</v>
      </c>
      <c r="J112" s="267">
        <f t="shared" si="48"/>
        <v>0</v>
      </c>
      <c r="K112" s="267">
        <f t="shared" si="48"/>
        <v>0</v>
      </c>
      <c r="L112" s="267">
        <f t="shared" si="48"/>
        <v>0</v>
      </c>
      <c r="M112" s="267">
        <f t="shared" si="48"/>
        <v>0</v>
      </c>
      <c r="N112" s="267">
        <f t="shared" si="48"/>
        <v>0</v>
      </c>
      <c r="O112" s="267">
        <f t="shared" si="48"/>
        <v>0</v>
      </c>
      <c r="P112" s="267">
        <f t="shared" si="48"/>
        <v>0</v>
      </c>
      <c r="Q112" s="267">
        <f t="shared" si="48"/>
        <v>566530</v>
      </c>
      <c r="R112" s="267">
        <f t="shared" si="48"/>
        <v>0</v>
      </c>
      <c r="S112" s="267">
        <f t="shared" si="48"/>
        <v>566530</v>
      </c>
      <c r="T112" s="267">
        <f t="shared" si="48"/>
        <v>0</v>
      </c>
      <c r="U112" s="267">
        <f t="shared" si="48"/>
        <v>200000</v>
      </c>
      <c r="V112" s="267">
        <f t="shared" si="48"/>
        <v>0</v>
      </c>
      <c r="W112" s="267">
        <f t="shared" si="48"/>
        <v>739000</v>
      </c>
      <c r="X112" s="267">
        <f t="shared" si="48"/>
        <v>0</v>
      </c>
      <c r="Y112" s="267">
        <f t="shared" si="48"/>
        <v>0</v>
      </c>
      <c r="Z112" s="267">
        <f t="shared" si="48"/>
        <v>0</v>
      </c>
      <c r="AA112" s="267">
        <f t="shared" si="48"/>
        <v>0</v>
      </c>
      <c r="AB112" s="267">
        <f t="shared" si="48"/>
        <v>0</v>
      </c>
      <c r="AC112" s="267">
        <f t="shared" si="48"/>
        <v>0</v>
      </c>
      <c r="AD112" s="267">
        <f t="shared" si="48"/>
        <v>0</v>
      </c>
      <c r="AE112" s="267">
        <f t="shared" si="48"/>
        <v>939000</v>
      </c>
      <c r="AF112" s="266"/>
    </row>
    <row r="113" spans="1:32" x14ac:dyDescent="0.3">
      <c r="A113" s="1094"/>
      <c r="B113" s="1157" t="s">
        <v>2</v>
      </c>
      <c r="C113" s="1132" t="s">
        <v>264</v>
      </c>
      <c r="D113" s="278"/>
      <c r="E113" s="112">
        <f>SUM(E114:E115)</f>
        <v>0</v>
      </c>
      <c r="F113" s="112">
        <f>SUM(F114:F115)</f>
        <v>1223750</v>
      </c>
      <c r="G113" s="112">
        <f t="shared" ref="G113:AE113" si="49">SUM(G114:G115)</f>
        <v>1223750</v>
      </c>
      <c r="H113" s="112">
        <f t="shared" si="49"/>
        <v>0</v>
      </c>
      <c r="I113" s="112">
        <f t="shared" si="49"/>
        <v>0</v>
      </c>
      <c r="J113" s="112">
        <f t="shared" si="49"/>
        <v>0</v>
      </c>
      <c r="K113" s="112">
        <f t="shared" si="49"/>
        <v>0</v>
      </c>
      <c r="L113" s="112">
        <f t="shared" si="49"/>
        <v>0</v>
      </c>
      <c r="M113" s="112">
        <f t="shared" si="49"/>
        <v>0</v>
      </c>
      <c r="N113" s="112">
        <f t="shared" si="49"/>
        <v>0</v>
      </c>
      <c r="O113" s="112">
        <f t="shared" si="49"/>
        <v>0</v>
      </c>
      <c r="P113" s="112">
        <f t="shared" si="49"/>
        <v>0</v>
      </c>
      <c r="Q113" s="112">
        <f t="shared" si="49"/>
        <v>284750</v>
      </c>
      <c r="R113" s="112">
        <f t="shared" si="49"/>
        <v>0</v>
      </c>
      <c r="S113" s="112">
        <f t="shared" si="49"/>
        <v>284750</v>
      </c>
      <c r="T113" s="112">
        <f t="shared" si="49"/>
        <v>0</v>
      </c>
      <c r="U113" s="112">
        <f t="shared" si="49"/>
        <v>200000</v>
      </c>
      <c r="V113" s="112">
        <f t="shared" si="49"/>
        <v>0</v>
      </c>
      <c r="W113" s="112">
        <f>SUM(W114:W115)</f>
        <v>739000</v>
      </c>
      <c r="X113" s="112">
        <f t="shared" si="49"/>
        <v>0</v>
      </c>
      <c r="Y113" s="112">
        <f t="shared" si="49"/>
        <v>0</v>
      </c>
      <c r="Z113" s="112">
        <f t="shared" si="49"/>
        <v>0</v>
      </c>
      <c r="AA113" s="112">
        <f t="shared" si="49"/>
        <v>0</v>
      </c>
      <c r="AB113" s="112">
        <f t="shared" si="49"/>
        <v>0</v>
      </c>
      <c r="AC113" s="112">
        <f t="shared" si="49"/>
        <v>0</v>
      </c>
      <c r="AD113" s="112">
        <f t="shared" si="49"/>
        <v>0</v>
      </c>
      <c r="AE113" s="112">
        <f t="shared" si="49"/>
        <v>939000</v>
      </c>
      <c r="AF113" s="268"/>
    </row>
    <row r="114" spans="1:32" ht="45.6" customHeight="1" x14ac:dyDescent="0.3">
      <c r="A114" s="1094"/>
      <c r="B114" s="1158"/>
      <c r="C114" s="1133"/>
      <c r="D114" s="273" t="s">
        <v>257</v>
      </c>
      <c r="E114" s="23"/>
      <c r="F114" s="23">
        <f>+S114+AE114</f>
        <v>484750</v>
      </c>
      <c r="G114" s="82">
        <f>+E114+F114</f>
        <v>484750</v>
      </c>
      <c r="H114" s="73"/>
      <c r="I114" s="73"/>
      <c r="J114" s="73"/>
      <c r="K114" s="73"/>
      <c r="L114" s="73"/>
      <c r="M114" s="73"/>
      <c r="N114" s="73"/>
      <c r="O114" s="73"/>
      <c r="P114" s="73"/>
      <c r="Q114" s="73">
        <v>284750</v>
      </c>
      <c r="R114" s="73"/>
      <c r="S114" s="57">
        <f>SUM(H114:R114)</f>
        <v>284750</v>
      </c>
      <c r="T114" s="73"/>
      <c r="U114" s="73">
        <v>200000</v>
      </c>
      <c r="V114" s="73"/>
      <c r="W114" s="73"/>
      <c r="X114" s="73"/>
      <c r="Y114" s="73"/>
      <c r="Z114" s="73"/>
      <c r="AA114" s="73"/>
      <c r="AB114" s="73"/>
      <c r="AC114" s="73"/>
      <c r="AD114" s="73"/>
      <c r="AE114" s="74">
        <f>SUM(T114:AD114)</f>
        <v>200000</v>
      </c>
      <c r="AF114" s="24" t="s">
        <v>233</v>
      </c>
    </row>
    <row r="115" spans="1:32" ht="45" customHeight="1" x14ac:dyDescent="0.3">
      <c r="A115" s="1094"/>
      <c r="B115" s="1159"/>
      <c r="C115" s="1134"/>
      <c r="D115" s="273" t="s">
        <v>258</v>
      </c>
      <c r="E115" s="23"/>
      <c r="F115" s="23">
        <f>+S115+AE115</f>
        <v>739000</v>
      </c>
      <c r="G115" s="82">
        <f>+E115+F115</f>
        <v>739000</v>
      </c>
      <c r="H115" s="73"/>
      <c r="I115" s="73"/>
      <c r="J115" s="73"/>
      <c r="K115" s="73"/>
      <c r="L115" s="73"/>
      <c r="M115" s="73"/>
      <c r="N115" s="73"/>
      <c r="O115" s="73"/>
      <c r="P115" s="73"/>
      <c r="Q115" s="73"/>
      <c r="R115" s="73"/>
      <c r="S115" s="57">
        <f>SUM(H115:R115)</f>
        <v>0</v>
      </c>
      <c r="T115" s="73"/>
      <c r="V115" s="73"/>
      <c r="W115" s="73">
        <v>739000</v>
      </c>
      <c r="X115" s="73"/>
      <c r="Y115" s="73"/>
      <c r="Z115" s="73"/>
      <c r="AA115" s="73"/>
      <c r="AB115" s="73"/>
      <c r="AC115" s="73"/>
      <c r="AD115" s="73"/>
      <c r="AE115" s="74">
        <f>SUM(T115:AD115)</f>
        <v>739000</v>
      </c>
      <c r="AF115" s="24" t="s">
        <v>233</v>
      </c>
    </row>
    <row r="116" spans="1:32" x14ac:dyDescent="0.3">
      <c r="A116" s="1094"/>
      <c r="B116" s="1232" t="s">
        <v>3</v>
      </c>
      <c r="C116" s="1135" t="s">
        <v>263</v>
      </c>
      <c r="D116" s="278"/>
      <c r="E116" s="112">
        <f>SUM(E117:E119)</f>
        <v>165000</v>
      </c>
      <c r="F116" s="112">
        <f t="shared" ref="F116:AE116" si="50">SUM(F117:F119)</f>
        <v>0</v>
      </c>
      <c r="G116" s="112">
        <f t="shared" si="50"/>
        <v>165000</v>
      </c>
      <c r="H116" s="112">
        <f t="shared" si="50"/>
        <v>0</v>
      </c>
      <c r="I116" s="112">
        <f t="shared" si="50"/>
        <v>0</v>
      </c>
      <c r="J116" s="112">
        <f t="shared" si="50"/>
        <v>0</v>
      </c>
      <c r="K116" s="112">
        <f t="shared" si="50"/>
        <v>0</v>
      </c>
      <c r="L116" s="112">
        <f t="shared" si="50"/>
        <v>0</v>
      </c>
      <c r="M116" s="112">
        <f t="shared" si="50"/>
        <v>0</v>
      </c>
      <c r="N116" s="112">
        <f t="shared" si="50"/>
        <v>0</v>
      </c>
      <c r="O116" s="112">
        <f t="shared" si="50"/>
        <v>0</v>
      </c>
      <c r="P116" s="112">
        <f t="shared" si="50"/>
        <v>0</v>
      </c>
      <c r="Q116" s="112">
        <f t="shared" si="50"/>
        <v>165000</v>
      </c>
      <c r="R116" s="112">
        <f t="shared" si="50"/>
        <v>0</v>
      </c>
      <c r="S116" s="112">
        <f t="shared" si="50"/>
        <v>165000</v>
      </c>
      <c r="T116" s="112">
        <f t="shared" si="50"/>
        <v>0</v>
      </c>
      <c r="U116" s="112">
        <f t="shared" si="50"/>
        <v>0</v>
      </c>
      <c r="V116" s="112">
        <f t="shared" si="50"/>
        <v>0</v>
      </c>
      <c r="W116" s="112">
        <f t="shared" si="50"/>
        <v>0</v>
      </c>
      <c r="X116" s="112">
        <f t="shared" si="50"/>
        <v>0</v>
      </c>
      <c r="Y116" s="112">
        <f t="shared" si="50"/>
        <v>0</v>
      </c>
      <c r="Z116" s="112">
        <f t="shared" si="50"/>
        <v>0</v>
      </c>
      <c r="AA116" s="112">
        <f t="shared" si="50"/>
        <v>0</v>
      </c>
      <c r="AB116" s="112">
        <f t="shared" si="50"/>
        <v>0</v>
      </c>
      <c r="AC116" s="112">
        <f t="shared" si="50"/>
        <v>0</v>
      </c>
      <c r="AD116" s="112">
        <f t="shared" si="50"/>
        <v>0</v>
      </c>
      <c r="AE116" s="112">
        <f t="shared" si="50"/>
        <v>0</v>
      </c>
      <c r="AF116" s="268"/>
    </row>
    <row r="117" spans="1:32" ht="72" x14ac:dyDescent="0.3">
      <c r="A117" s="1094"/>
      <c r="B117" s="1233"/>
      <c r="C117" s="1136"/>
      <c r="D117" s="274" t="s">
        <v>260</v>
      </c>
      <c r="E117" s="23">
        <f>+S117+AE117</f>
        <v>65000</v>
      </c>
      <c r="F117" s="23">
        <v>0</v>
      </c>
      <c r="G117" s="82">
        <f>+E117+F117</f>
        <v>65000</v>
      </c>
      <c r="H117" s="73"/>
      <c r="I117" s="73"/>
      <c r="J117" s="73"/>
      <c r="K117" s="73"/>
      <c r="L117" s="73"/>
      <c r="M117" s="73"/>
      <c r="N117" s="73"/>
      <c r="O117" s="73"/>
      <c r="P117" s="73"/>
      <c r="Q117" s="73">
        <v>65000</v>
      </c>
      <c r="R117" s="73"/>
      <c r="S117" s="57">
        <f>SUM(H117:R117)</f>
        <v>65000</v>
      </c>
      <c r="T117" s="73"/>
      <c r="U117" s="73"/>
      <c r="V117" s="73"/>
      <c r="W117" s="73"/>
      <c r="X117" s="73"/>
      <c r="Y117" s="73"/>
      <c r="Z117" s="73"/>
      <c r="AA117" s="73"/>
      <c r="AB117" s="73"/>
      <c r="AC117" s="73"/>
      <c r="AD117" s="73"/>
      <c r="AE117" s="74">
        <f>SUM(T117:AD117)</f>
        <v>0</v>
      </c>
      <c r="AF117" s="24" t="s">
        <v>266</v>
      </c>
    </row>
    <row r="118" spans="1:32" ht="91.95" customHeight="1" x14ac:dyDescent="0.3">
      <c r="A118" s="1094"/>
      <c r="B118" s="1233"/>
      <c r="C118" s="1136"/>
      <c r="D118" s="274" t="s">
        <v>261</v>
      </c>
      <c r="E118" s="23">
        <f>+S118+AE118</f>
        <v>35000</v>
      </c>
      <c r="F118" s="23">
        <v>0</v>
      </c>
      <c r="G118" s="82">
        <f>+E118+F118</f>
        <v>35000</v>
      </c>
      <c r="H118" s="73"/>
      <c r="I118" s="73"/>
      <c r="J118" s="73"/>
      <c r="K118" s="73"/>
      <c r="L118" s="73"/>
      <c r="M118" s="73"/>
      <c r="N118" s="73"/>
      <c r="O118" s="73"/>
      <c r="P118" s="73"/>
      <c r="Q118" s="73">
        <v>35000</v>
      </c>
      <c r="R118" s="73"/>
      <c r="S118" s="57">
        <f>SUM(H118:R118)</f>
        <v>35000</v>
      </c>
      <c r="T118" s="73"/>
      <c r="U118" s="73"/>
      <c r="V118" s="73"/>
      <c r="W118" s="73"/>
      <c r="X118" s="73"/>
      <c r="Y118" s="73"/>
      <c r="Z118" s="73"/>
      <c r="AA118" s="73"/>
      <c r="AB118" s="73"/>
      <c r="AC118" s="73"/>
      <c r="AD118" s="73"/>
      <c r="AE118" s="74">
        <f>SUM(T118:AD118)</f>
        <v>0</v>
      </c>
      <c r="AF118" s="24" t="s">
        <v>266</v>
      </c>
    </row>
    <row r="119" spans="1:32" ht="55.2" customHeight="1" x14ac:dyDescent="0.3">
      <c r="A119" s="1094"/>
      <c r="B119" s="1234"/>
      <c r="C119" s="1137"/>
      <c r="D119" s="274" t="s">
        <v>262</v>
      </c>
      <c r="E119" s="23">
        <f>+S119+AE119</f>
        <v>65000</v>
      </c>
      <c r="F119" s="23">
        <v>0</v>
      </c>
      <c r="G119" s="82">
        <f>+E119+F119</f>
        <v>65000</v>
      </c>
      <c r="H119" s="73"/>
      <c r="I119" s="73"/>
      <c r="J119" s="73"/>
      <c r="K119" s="73"/>
      <c r="L119" s="73"/>
      <c r="M119" s="73"/>
      <c r="N119" s="73"/>
      <c r="O119" s="73"/>
      <c r="P119" s="73"/>
      <c r="Q119" s="73">
        <v>65000</v>
      </c>
      <c r="R119" s="73"/>
      <c r="S119" s="57">
        <f>SUM(H119:R119)</f>
        <v>65000</v>
      </c>
      <c r="T119" s="73"/>
      <c r="U119" s="73"/>
      <c r="V119" s="73"/>
      <c r="W119" s="73"/>
      <c r="X119" s="73"/>
      <c r="Y119" s="73"/>
      <c r="Z119" s="73"/>
      <c r="AA119" s="73"/>
      <c r="AB119" s="73"/>
      <c r="AC119" s="73"/>
      <c r="AD119" s="73"/>
      <c r="AE119" s="74">
        <f>SUM(T119:AD119)</f>
        <v>0</v>
      </c>
      <c r="AF119" s="24" t="s">
        <v>266</v>
      </c>
    </row>
    <row r="120" spans="1:32" x14ac:dyDescent="0.3">
      <c r="A120" s="1094"/>
      <c r="B120" s="1232" t="s">
        <v>4</v>
      </c>
      <c r="C120" s="1135" t="s">
        <v>265</v>
      </c>
      <c r="D120" s="278"/>
      <c r="E120" s="112">
        <f>SUM(E121:E122)</f>
        <v>0</v>
      </c>
      <c r="F120" s="112">
        <f>SUM(F121:F122)</f>
        <v>116780</v>
      </c>
      <c r="G120" s="112">
        <f t="shared" ref="G120:AE120" si="51">SUM(G121:G122)</f>
        <v>116780</v>
      </c>
      <c r="H120" s="112">
        <f t="shared" si="51"/>
        <v>0</v>
      </c>
      <c r="I120" s="112">
        <f t="shared" si="51"/>
        <v>0</v>
      </c>
      <c r="J120" s="112">
        <f t="shared" si="51"/>
        <v>0</v>
      </c>
      <c r="K120" s="112">
        <f t="shared" si="51"/>
        <v>0</v>
      </c>
      <c r="L120" s="112">
        <f t="shared" si="51"/>
        <v>0</v>
      </c>
      <c r="M120" s="112">
        <f t="shared" si="51"/>
        <v>0</v>
      </c>
      <c r="N120" s="112">
        <f t="shared" si="51"/>
        <v>0</v>
      </c>
      <c r="O120" s="112">
        <f t="shared" si="51"/>
        <v>0</v>
      </c>
      <c r="P120" s="112">
        <f t="shared" si="51"/>
        <v>0</v>
      </c>
      <c r="Q120" s="112">
        <f t="shared" si="51"/>
        <v>116780</v>
      </c>
      <c r="R120" s="112">
        <f t="shared" si="51"/>
        <v>0</v>
      </c>
      <c r="S120" s="112">
        <f t="shared" si="51"/>
        <v>116780</v>
      </c>
      <c r="T120" s="112">
        <f t="shared" si="51"/>
        <v>0</v>
      </c>
      <c r="U120" s="112">
        <f t="shared" si="51"/>
        <v>0</v>
      </c>
      <c r="V120" s="112">
        <f t="shared" si="51"/>
        <v>0</v>
      </c>
      <c r="W120" s="112">
        <f t="shared" si="51"/>
        <v>0</v>
      </c>
      <c r="X120" s="112">
        <f t="shared" si="51"/>
        <v>0</v>
      </c>
      <c r="Y120" s="112">
        <f t="shared" si="51"/>
        <v>0</v>
      </c>
      <c r="Z120" s="112">
        <f t="shared" si="51"/>
        <v>0</v>
      </c>
      <c r="AA120" s="112">
        <f t="shared" si="51"/>
        <v>0</v>
      </c>
      <c r="AB120" s="112">
        <f t="shared" si="51"/>
        <v>0</v>
      </c>
      <c r="AC120" s="112">
        <f t="shared" si="51"/>
        <v>0</v>
      </c>
      <c r="AD120" s="112">
        <f t="shared" si="51"/>
        <v>0</v>
      </c>
      <c r="AE120" s="112">
        <f t="shared" si="51"/>
        <v>0</v>
      </c>
      <c r="AF120" s="268"/>
    </row>
    <row r="121" spans="1:32" ht="45" customHeight="1" x14ac:dyDescent="0.3">
      <c r="A121" s="1094"/>
      <c r="B121" s="1233"/>
      <c r="C121" s="1136"/>
      <c r="D121" s="274" t="s">
        <v>259</v>
      </c>
      <c r="E121" s="23"/>
      <c r="F121" s="23">
        <f>+S121+AE121</f>
        <v>53675</v>
      </c>
      <c r="G121" s="82">
        <f>+E121+F121</f>
        <v>53675</v>
      </c>
      <c r="H121" s="73"/>
      <c r="I121" s="73"/>
      <c r="J121" s="73"/>
      <c r="K121" s="73"/>
      <c r="L121" s="73"/>
      <c r="M121" s="73"/>
      <c r="N121" s="73"/>
      <c r="O121" s="73"/>
      <c r="P121" s="73"/>
      <c r="Q121" s="73">
        <v>53675</v>
      </c>
      <c r="R121" s="73"/>
      <c r="S121" s="57">
        <f>SUM(H121:R121)</f>
        <v>53675</v>
      </c>
      <c r="T121" s="73"/>
      <c r="U121" s="73"/>
      <c r="V121" s="73"/>
      <c r="W121" s="73"/>
      <c r="X121" s="73"/>
      <c r="Y121" s="73"/>
      <c r="Z121" s="73"/>
      <c r="AA121" s="73"/>
      <c r="AB121" s="73"/>
      <c r="AC121" s="73"/>
      <c r="AD121" s="73"/>
      <c r="AE121" s="74">
        <f>SUM(T121:AD121)</f>
        <v>0</v>
      </c>
      <c r="AF121" s="24" t="s">
        <v>240</v>
      </c>
    </row>
    <row r="122" spans="1:32" ht="55.2" customHeight="1" x14ac:dyDescent="0.3">
      <c r="A122" s="1094"/>
      <c r="B122" s="1234"/>
      <c r="C122" s="1137"/>
      <c r="D122" s="274" t="s">
        <v>569</v>
      </c>
      <c r="E122" s="23"/>
      <c r="F122" s="23">
        <f>+S122+AE122</f>
        <v>63105</v>
      </c>
      <c r="G122" s="82">
        <f>+E122+F122</f>
        <v>63105</v>
      </c>
      <c r="H122" s="73"/>
      <c r="I122" s="73"/>
      <c r="J122" s="73"/>
      <c r="K122" s="73"/>
      <c r="L122" s="73"/>
      <c r="M122" s="73"/>
      <c r="N122" s="73"/>
      <c r="O122" s="73"/>
      <c r="P122" s="73"/>
      <c r="Q122" s="73">
        <v>63105</v>
      </c>
      <c r="R122" s="73"/>
      <c r="S122" s="57">
        <f>SUM(H122:R122)</f>
        <v>63105</v>
      </c>
      <c r="T122" s="73"/>
      <c r="U122" s="73"/>
      <c r="V122" s="73"/>
      <c r="W122" s="73"/>
      <c r="X122" s="73"/>
      <c r="Y122" s="73"/>
      <c r="Z122" s="73"/>
      <c r="AA122" s="73"/>
      <c r="AB122" s="73"/>
      <c r="AC122" s="73"/>
      <c r="AD122" s="73"/>
      <c r="AE122" s="74">
        <f>SUM(T122:AD122)</f>
        <v>0</v>
      </c>
      <c r="AF122" s="24" t="s">
        <v>240</v>
      </c>
    </row>
    <row r="124" spans="1:32" x14ac:dyDescent="0.3">
      <c r="H124" t="s">
        <v>641</v>
      </c>
      <c r="J124" s="617">
        <f>+P30+P40+K52+O52+O53+O64+O71+O86+P86+O88+P88+K90+K91+N90+N91+O90+O91+P90+P91+H86+I86+J86+H91+I91+J91+K102+L102+O103+N104+O106+O107</f>
        <v>4756348.57</v>
      </c>
    </row>
  </sheetData>
  <autoFilter ref="A6:AH122"/>
  <mergeCells count="67">
    <mergeCell ref="C89:C91"/>
    <mergeCell ref="A100:A110"/>
    <mergeCell ref="C20:C28"/>
    <mergeCell ref="C32:C34"/>
    <mergeCell ref="B32:B34"/>
    <mergeCell ref="B35:B36"/>
    <mergeCell ref="C35:C36"/>
    <mergeCell ref="C37:C38"/>
    <mergeCell ref="B37:B38"/>
    <mergeCell ref="B39:B42"/>
    <mergeCell ref="C39:C42"/>
    <mergeCell ref="C43:C50"/>
    <mergeCell ref="B43:B50"/>
    <mergeCell ref="B51:B53"/>
    <mergeCell ref="C51:C53"/>
    <mergeCell ref="B95:B99"/>
    <mergeCell ref="C95:C99"/>
    <mergeCell ref="C116:C119"/>
    <mergeCell ref="B116:B119"/>
    <mergeCell ref="B101:B104"/>
    <mergeCell ref="C101:C104"/>
    <mergeCell ref="B105:B107"/>
    <mergeCell ref="C105:C107"/>
    <mergeCell ref="C113:C115"/>
    <mergeCell ref="B113:B115"/>
    <mergeCell ref="A10:A53"/>
    <mergeCell ref="A112:A122"/>
    <mergeCell ref="A55:A77"/>
    <mergeCell ref="A78:G78"/>
    <mergeCell ref="B70:B71"/>
    <mergeCell ref="C70:C71"/>
    <mergeCell ref="C72:C77"/>
    <mergeCell ref="B72:B77"/>
    <mergeCell ref="B108:B110"/>
    <mergeCell ref="C108:C110"/>
    <mergeCell ref="C56:C62"/>
    <mergeCell ref="B120:B122"/>
    <mergeCell ref="C120:C122"/>
    <mergeCell ref="A80:A83"/>
    <mergeCell ref="B63:B64"/>
    <mergeCell ref="A84:A99"/>
    <mergeCell ref="AF5:AF6"/>
    <mergeCell ref="A8:G8"/>
    <mergeCell ref="S5:S6"/>
    <mergeCell ref="T5:AD5"/>
    <mergeCell ref="A7:D7"/>
    <mergeCell ref="E5:E6"/>
    <mergeCell ref="F5:F6"/>
    <mergeCell ref="G5:G6"/>
    <mergeCell ref="H5:R5"/>
    <mergeCell ref="AE5:AE6"/>
    <mergeCell ref="B92:B94"/>
    <mergeCell ref="C92:C94"/>
    <mergeCell ref="B65:B69"/>
    <mergeCell ref="C65:C69"/>
    <mergeCell ref="C11:C19"/>
    <mergeCell ref="B11:B19"/>
    <mergeCell ref="B29:B31"/>
    <mergeCell ref="C29:C31"/>
    <mergeCell ref="C63:C64"/>
    <mergeCell ref="B81:B83"/>
    <mergeCell ref="C81:C83"/>
    <mergeCell ref="C85:C88"/>
    <mergeCell ref="B85:B88"/>
    <mergeCell ref="B20:B28"/>
    <mergeCell ref="B56:B62"/>
    <mergeCell ref="B89:B91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5" tint="-0.249977111117893"/>
  </sheetPr>
  <dimension ref="A1:AG42"/>
  <sheetViews>
    <sheetView zoomScale="70" zoomScaleNormal="70" workbookViewId="0">
      <pane xSplit="6" ySplit="6" topLeftCell="G31" activePane="bottomRight" state="frozen"/>
      <selection pane="topRight" activeCell="G1" sqref="G1"/>
      <selection pane="bottomLeft" activeCell="A7" sqref="A7"/>
      <selection pane="bottomRight" activeCell="A7" sqref="A7:XFD35"/>
    </sheetView>
  </sheetViews>
  <sheetFormatPr baseColWidth="10" defaultRowHeight="14.4" x14ac:dyDescent="0.3"/>
  <cols>
    <col min="1" max="1" width="16.44140625" customWidth="1"/>
    <col min="2" max="2" width="5.5546875" customWidth="1"/>
    <col min="3" max="3" width="29.44140625" style="109" customWidth="1"/>
    <col min="4" max="4" width="26.33203125" bestFit="1" customWidth="1"/>
    <col min="5" max="5" width="22.33203125" customWidth="1"/>
    <col min="6" max="6" width="26.109375" style="67" bestFit="1" customWidth="1"/>
    <col min="7" max="8" width="20.88671875" bestFit="1" customWidth="1"/>
    <col min="9" max="12" width="22.5546875" bestFit="1" customWidth="1"/>
    <col min="13" max="13" width="22" bestFit="1" customWidth="1"/>
    <col min="14" max="14" width="23.6640625" bestFit="1" customWidth="1"/>
    <col min="15" max="15" width="22.5546875" bestFit="1" customWidth="1"/>
    <col min="16" max="16" width="22" bestFit="1" customWidth="1"/>
    <col min="17" max="17" width="21.5546875" bestFit="1" customWidth="1"/>
    <col min="18" max="18" width="24.6640625" bestFit="1" customWidth="1"/>
    <col min="19" max="19" width="21.5546875" bestFit="1" customWidth="1"/>
    <col min="20" max="20" width="22" bestFit="1" customWidth="1"/>
    <col min="21" max="22" width="25.109375" bestFit="1" customWidth="1"/>
    <col min="23" max="26" width="22.5546875" bestFit="1" customWidth="1"/>
    <col min="27" max="28" width="22" bestFit="1" customWidth="1"/>
    <col min="29" max="29" width="21.5546875" bestFit="1" customWidth="1"/>
    <col min="30" max="30" width="24.6640625" bestFit="1" customWidth="1"/>
    <col min="31" max="31" width="33" hidden="1" customWidth="1"/>
  </cols>
  <sheetData>
    <row r="1" spans="1:33" s="4" customFormat="1" ht="21.75" customHeight="1" x14ac:dyDescent="0.3">
      <c r="A1" s="48" t="s">
        <v>46</v>
      </c>
      <c r="B1" s="34"/>
      <c r="C1" s="101"/>
      <c r="D1" s="33"/>
      <c r="E1" s="32"/>
      <c r="F1" s="753"/>
      <c r="G1" s="11"/>
      <c r="H1" s="12"/>
      <c r="I1" s="13"/>
      <c r="J1" s="9"/>
      <c r="K1" s="9"/>
      <c r="L1" s="9"/>
      <c r="M1" s="9"/>
      <c r="N1" s="9"/>
      <c r="O1" s="9"/>
      <c r="P1" s="9"/>
      <c r="Q1" s="9"/>
      <c r="R1" s="55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55"/>
      <c r="AE1" s="9"/>
      <c r="AF1" s="313"/>
      <c r="AG1" s="314"/>
    </row>
    <row r="2" spans="1:33" s="4" customFormat="1" ht="15.75" customHeight="1" x14ac:dyDescent="0.25">
      <c r="A2" s="48" t="s">
        <v>47</v>
      </c>
      <c r="B2" s="34"/>
      <c r="C2" s="101"/>
      <c r="D2" s="33"/>
      <c r="E2" s="32"/>
      <c r="F2" s="753"/>
      <c r="G2" s="14"/>
      <c r="H2" s="15"/>
      <c r="I2" s="16"/>
      <c r="J2" s="9"/>
      <c r="K2" s="9"/>
      <c r="L2" s="9"/>
      <c r="M2" s="9"/>
      <c r="N2" s="9"/>
      <c r="O2" s="9"/>
      <c r="P2" s="9"/>
      <c r="Q2" s="9"/>
      <c r="R2" s="55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55"/>
      <c r="AE2" s="17"/>
      <c r="AF2" s="313"/>
      <c r="AG2" s="314"/>
    </row>
    <row r="3" spans="1:33" s="4" customFormat="1" ht="20.25" customHeight="1" x14ac:dyDescent="0.25">
      <c r="A3" s="48"/>
      <c r="B3" s="34"/>
      <c r="C3" s="101"/>
      <c r="D3" s="33"/>
      <c r="E3" s="309"/>
      <c r="F3" s="289">
        <v>13582620</v>
      </c>
      <c r="G3" s="14"/>
      <c r="H3" s="15"/>
      <c r="I3" s="16"/>
      <c r="J3" s="9"/>
      <c r="K3" s="9"/>
      <c r="L3" s="9"/>
      <c r="M3" s="9"/>
      <c r="N3" s="9"/>
      <c r="O3" s="9"/>
      <c r="P3" s="9"/>
      <c r="Q3" s="9"/>
      <c r="R3" s="55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55"/>
      <c r="AE3" s="17"/>
      <c r="AF3" s="313"/>
      <c r="AG3" s="314"/>
    </row>
    <row r="4" spans="1:33" s="4" customFormat="1" ht="6" customHeight="1" x14ac:dyDescent="0.25">
      <c r="A4" s="48"/>
      <c r="B4" s="34"/>
      <c r="C4" s="101"/>
      <c r="D4" s="33"/>
      <c r="E4" s="32"/>
      <c r="F4" s="753"/>
      <c r="G4" s="14"/>
      <c r="H4" s="15"/>
      <c r="I4" s="16"/>
      <c r="J4" s="9"/>
      <c r="K4" s="9"/>
      <c r="L4" s="9"/>
      <c r="M4" s="9"/>
      <c r="N4" s="9"/>
      <c r="O4" s="9"/>
      <c r="P4" s="9"/>
      <c r="Q4" s="9"/>
      <c r="R4" s="55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55"/>
      <c r="AE4" s="9"/>
      <c r="AF4" s="313"/>
      <c r="AG4" s="314"/>
    </row>
    <row r="5" spans="1:33" ht="21" customHeight="1" x14ac:dyDescent="0.3">
      <c r="A5" s="49" t="s">
        <v>48</v>
      </c>
      <c r="B5" s="37"/>
      <c r="C5" s="300"/>
      <c r="D5" s="1185" t="s">
        <v>43</v>
      </c>
      <c r="E5" s="1185" t="s">
        <v>44</v>
      </c>
      <c r="F5" s="1188" t="s">
        <v>85</v>
      </c>
      <c r="G5" s="1123"/>
      <c r="H5" s="1123"/>
      <c r="I5" s="1123"/>
      <c r="J5" s="1123"/>
      <c r="K5" s="1123"/>
      <c r="L5" s="1123"/>
      <c r="M5" s="1123"/>
      <c r="N5" s="1123"/>
      <c r="O5" s="1123"/>
      <c r="P5" s="1123"/>
      <c r="Q5" s="1123"/>
      <c r="R5" s="1101" t="s">
        <v>41</v>
      </c>
      <c r="S5" s="1173">
        <v>2022</v>
      </c>
      <c r="T5" s="1111"/>
      <c r="U5" s="1111"/>
      <c r="V5" s="1111"/>
      <c r="W5" s="1111"/>
      <c r="X5" s="1111"/>
      <c r="Y5" s="1111"/>
      <c r="Z5" s="1111"/>
      <c r="AA5" s="1111"/>
      <c r="AB5" s="1111"/>
      <c r="AC5" s="1111"/>
      <c r="AD5" s="1101" t="s">
        <v>42</v>
      </c>
      <c r="AE5" s="1160" t="s">
        <v>45</v>
      </c>
      <c r="AF5" s="315"/>
      <c r="AG5" s="315"/>
    </row>
    <row r="6" spans="1:33" ht="39.75" customHeight="1" x14ac:dyDescent="0.3">
      <c r="A6" s="85" t="s">
        <v>49</v>
      </c>
      <c r="B6" s="86" t="s">
        <v>50</v>
      </c>
      <c r="C6" s="269" t="s">
        <v>51</v>
      </c>
      <c r="D6" s="1223"/>
      <c r="E6" s="1223"/>
      <c r="F6" s="1221"/>
      <c r="G6" s="18">
        <v>44228</v>
      </c>
      <c r="H6" s="18">
        <v>44256</v>
      </c>
      <c r="I6" s="18">
        <v>44287</v>
      </c>
      <c r="J6" s="18">
        <v>44317</v>
      </c>
      <c r="K6" s="18">
        <v>44348</v>
      </c>
      <c r="L6" s="18">
        <v>44378</v>
      </c>
      <c r="M6" s="18">
        <v>44409</v>
      </c>
      <c r="N6" s="18">
        <v>44440</v>
      </c>
      <c r="O6" s="18">
        <v>44470</v>
      </c>
      <c r="P6" s="18">
        <v>44501</v>
      </c>
      <c r="Q6" s="18">
        <v>44531</v>
      </c>
      <c r="R6" s="1101"/>
      <c r="S6" s="18">
        <v>44562</v>
      </c>
      <c r="T6" s="18">
        <v>44593</v>
      </c>
      <c r="U6" s="18">
        <v>44621</v>
      </c>
      <c r="V6" s="18">
        <v>44652</v>
      </c>
      <c r="W6" s="18">
        <v>44682</v>
      </c>
      <c r="X6" s="18">
        <v>44713</v>
      </c>
      <c r="Y6" s="18">
        <v>44743</v>
      </c>
      <c r="Z6" s="18">
        <v>44774</v>
      </c>
      <c r="AA6" s="18">
        <v>44805</v>
      </c>
      <c r="AB6" s="18">
        <v>44835</v>
      </c>
      <c r="AC6" s="18">
        <v>44866</v>
      </c>
      <c r="AD6" s="1101"/>
      <c r="AE6" s="1160"/>
    </row>
    <row r="7" spans="1:33" s="89" customFormat="1" ht="51.75" customHeight="1" x14ac:dyDescent="0.3">
      <c r="A7" s="1078" t="s">
        <v>101</v>
      </c>
      <c r="B7" s="1079"/>
      <c r="C7" s="1079"/>
      <c r="D7" s="297">
        <f>+D10+D17+D24+D26+D29+D33</f>
        <v>6154700</v>
      </c>
      <c r="E7" s="297">
        <f>+E10+E17+E24+E26+E29+E33</f>
        <v>8619953.8200000003</v>
      </c>
      <c r="F7" s="297">
        <f>+F10+F17+F24+F26+F29+F33</f>
        <v>14774653.82</v>
      </c>
      <c r="G7" s="297">
        <f t="shared" ref="G7:AE7" si="0">+G10+G17+G24+G26+G29+G33</f>
        <v>22000</v>
      </c>
      <c r="H7" s="297">
        <f t="shared" si="0"/>
        <v>22000</v>
      </c>
      <c r="I7" s="297">
        <f t="shared" si="0"/>
        <v>22000</v>
      </c>
      <c r="J7" s="297">
        <f t="shared" si="0"/>
        <v>1278000</v>
      </c>
      <c r="K7" s="297">
        <f t="shared" si="0"/>
        <v>194000</v>
      </c>
      <c r="L7" s="297">
        <f t="shared" si="0"/>
        <v>69000</v>
      </c>
      <c r="M7" s="297">
        <f t="shared" si="0"/>
        <v>414490.35</v>
      </c>
      <c r="N7" s="297">
        <f t="shared" si="0"/>
        <v>1454400</v>
      </c>
      <c r="O7" s="297">
        <f t="shared" si="0"/>
        <v>688103.5</v>
      </c>
      <c r="P7" s="297">
        <f t="shared" si="0"/>
        <v>517500</v>
      </c>
      <c r="Q7" s="297">
        <f t="shared" si="0"/>
        <v>286000</v>
      </c>
      <c r="R7" s="297">
        <f t="shared" si="0"/>
        <v>4967493.8499999996</v>
      </c>
      <c r="S7" s="297">
        <f t="shared" si="0"/>
        <v>135000</v>
      </c>
      <c r="T7" s="297">
        <f t="shared" si="0"/>
        <v>1177533.8199999998</v>
      </c>
      <c r="U7" s="297">
        <f t="shared" si="0"/>
        <v>3007800</v>
      </c>
      <c r="V7" s="297">
        <f t="shared" si="0"/>
        <v>2798470</v>
      </c>
      <c r="W7" s="297">
        <f t="shared" si="0"/>
        <v>809500</v>
      </c>
      <c r="X7" s="297">
        <f t="shared" si="0"/>
        <v>424000</v>
      </c>
      <c r="Y7" s="297">
        <f t="shared" si="0"/>
        <v>358000</v>
      </c>
      <c r="Z7" s="297">
        <f t="shared" si="0"/>
        <v>338509.65</v>
      </c>
      <c r="AA7" s="297">
        <f t="shared" si="0"/>
        <v>364346.5</v>
      </c>
      <c r="AB7" s="297">
        <f t="shared" si="0"/>
        <v>234000</v>
      </c>
      <c r="AC7" s="297">
        <f t="shared" si="0"/>
        <v>160000</v>
      </c>
      <c r="AD7" s="297">
        <f t="shared" si="0"/>
        <v>9807159.9700000007</v>
      </c>
      <c r="AE7" s="297">
        <f t="shared" si="0"/>
        <v>0</v>
      </c>
    </row>
    <row r="8" spans="1:33" ht="34.5" customHeight="1" x14ac:dyDescent="0.3">
      <c r="A8" s="330" t="s">
        <v>102</v>
      </c>
      <c r="B8" s="329"/>
      <c r="C8" s="329"/>
      <c r="D8" s="329"/>
      <c r="E8" s="329"/>
      <c r="F8" s="754"/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56"/>
      <c r="S8" s="68"/>
      <c r="T8" s="68"/>
      <c r="U8" s="68"/>
      <c r="V8" s="68"/>
      <c r="W8" s="68"/>
      <c r="X8" s="68"/>
      <c r="Y8" s="68"/>
      <c r="Z8" s="68"/>
      <c r="AA8" s="68"/>
      <c r="AB8" s="68"/>
      <c r="AC8" s="68"/>
      <c r="AD8" s="56"/>
      <c r="AE8" s="19"/>
    </row>
    <row r="9" spans="1:33" ht="37.5" customHeight="1" x14ac:dyDescent="0.3">
      <c r="A9" s="331" t="s">
        <v>103</v>
      </c>
      <c r="B9" s="325"/>
      <c r="C9" s="325"/>
      <c r="D9" s="325"/>
      <c r="E9" s="325"/>
      <c r="F9" s="326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69"/>
      <c r="X9" s="69"/>
      <c r="Y9" s="69"/>
      <c r="Z9" s="69"/>
      <c r="AA9" s="69"/>
      <c r="AB9" s="69"/>
      <c r="AC9" s="69"/>
      <c r="AD9" s="69"/>
      <c r="AE9" s="20"/>
    </row>
    <row r="10" spans="1:33" ht="21" customHeight="1" x14ac:dyDescent="0.3">
      <c r="A10" s="1114" t="s">
        <v>104</v>
      </c>
      <c r="B10" s="266"/>
      <c r="C10" s="301"/>
      <c r="D10" s="267">
        <f>SUM(D11:D15)</f>
        <v>1841690.35</v>
      </c>
      <c r="E10" s="267">
        <f>SUM(E11:E15)</f>
        <v>2355250</v>
      </c>
      <c r="F10" s="267">
        <f t="shared" ref="F10:AD10" si="1">+F11+F12+F13+F14+F15</f>
        <v>4196940.3499999996</v>
      </c>
      <c r="G10" s="267">
        <f t="shared" si="1"/>
        <v>22000</v>
      </c>
      <c r="H10" s="267">
        <f t="shared" si="1"/>
        <v>22000</v>
      </c>
      <c r="I10" s="267">
        <f t="shared" si="1"/>
        <v>22000</v>
      </c>
      <c r="J10" s="267">
        <f t="shared" si="1"/>
        <v>45000</v>
      </c>
      <c r="K10" s="267">
        <f t="shared" si="1"/>
        <v>25000</v>
      </c>
      <c r="L10" s="267">
        <f t="shared" si="1"/>
        <v>25000</v>
      </c>
      <c r="M10" s="267">
        <f t="shared" si="1"/>
        <v>94490.35</v>
      </c>
      <c r="N10" s="267">
        <f t="shared" si="1"/>
        <v>153000</v>
      </c>
      <c r="O10" s="267">
        <f t="shared" si="1"/>
        <v>334250</v>
      </c>
      <c r="P10" s="267">
        <f t="shared" si="1"/>
        <v>154000</v>
      </c>
      <c r="Q10" s="267">
        <f t="shared" si="1"/>
        <v>95000</v>
      </c>
      <c r="R10" s="267">
        <f t="shared" si="1"/>
        <v>991740.35</v>
      </c>
      <c r="S10" s="267">
        <f t="shared" si="1"/>
        <v>69000</v>
      </c>
      <c r="T10" s="267">
        <f t="shared" si="1"/>
        <v>95000</v>
      </c>
      <c r="U10" s="267">
        <f t="shared" si="1"/>
        <v>2220000</v>
      </c>
      <c r="V10" s="267">
        <f t="shared" si="1"/>
        <v>209000</v>
      </c>
      <c r="W10" s="267">
        <f t="shared" si="1"/>
        <v>125000</v>
      </c>
      <c r="X10" s="267">
        <f t="shared" si="1"/>
        <v>100000</v>
      </c>
      <c r="Y10" s="267">
        <f t="shared" si="1"/>
        <v>99000</v>
      </c>
      <c r="Z10" s="267">
        <f t="shared" si="1"/>
        <v>70000</v>
      </c>
      <c r="AA10" s="267">
        <f t="shared" si="1"/>
        <v>115200</v>
      </c>
      <c r="AB10" s="267">
        <f t="shared" si="1"/>
        <v>59000</v>
      </c>
      <c r="AC10" s="267">
        <f t="shared" si="1"/>
        <v>44000</v>
      </c>
      <c r="AD10" s="267">
        <f t="shared" si="1"/>
        <v>3205200</v>
      </c>
      <c r="AE10" s="266"/>
    </row>
    <row r="11" spans="1:33" s="334" customFormat="1" ht="57.6" x14ac:dyDescent="0.3">
      <c r="A11" s="1116"/>
      <c r="B11" s="316" t="s">
        <v>2</v>
      </c>
      <c r="C11" s="245" t="s">
        <v>285</v>
      </c>
      <c r="D11" s="80">
        <f>+R11+AD11</f>
        <v>1281690.3500000001</v>
      </c>
      <c r="E11" s="80">
        <v>0</v>
      </c>
      <c r="F11" s="236">
        <f>+D11+E11</f>
        <v>1281690.3500000001</v>
      </c>
      <c r="G11" s="61">
        <f>+'IMPUNIDAD (desglose)'!H11</f>
        <v>22000</v>
      </c>
      <c r="H11" s="61">
        <f>+'IMPUNIDAD (desglose)'!I11</f>
        <v>22000</v>
      </c>
      <c r="I11" s="61">
        <f>+'IMPUNIDAD (desglose)'!J11</f>
        <v>22000</v>
      </c>
      <c r="J11" s="61">
        <f>+'IMPUNIDAD (desglose)'!K11</f>
        <v>25000</v>
      </c>
      <c r="K11" s="61">
        <f>+'IMPUNIDAD (desglose)'!L11</f>
        <v>25000</v>
      </c>
      <c r="L11" s="61">
        <f>+'IMPUNIDAD (desglose)'!M11</f>
        <v>25000</v>
      </c>
      <c r="M11" s="61">
        <f>+'IMPUNIDAD (desglose)'!N11</f>
        <v>49490.35</v>
      </c>
      <c r="N11" s="61">
        <f>+'IMPUNIDAD (desglose)'!O11</f>
        <v>78000</v>
      </c>
      <c r="O11" s="61">
        <f>+'IMPUNIDAD (desglose)'!P11</f>
        <v>104000</v>
      </c>
      <c r="P11" s="61">
        <f>+'IMPUNIDAD (desglose)'!Q11</f>
        <v>119000</v>
      </c>
      <c r="Q11" s="61">
        <f>+'IMPUNIDAD (desglose)'!R11</f>
        <v>75000</v>
      </c>
      <c r="R11" s="83">
        <f>SUM(G11:Q11)</f>
        <v>566490.35</v>
      </c>
      <c r="S11" s="61">
        <f>+'IMPUNIDAD (desglose)'!T11</f>
        <v>69000</v>
      </c>
      <c r="T11" s="61">
        <f>+'IMPUNIDAD (desglose)'!U11</f>
        <v>75000</v>
      </c>
      <c r="U11" s="61">
        <f>+'IMPUNIDAD (desglose)'!V11</f>
        <v>75000</v>
      </c>
      <c r="V11" s="61">
        <f>+'IMPUNIDAD (desglose)'!W11</f>
        <v>89000</v>
      </c>
      <c r="W11" s="61">
        <f>+'IMPUNIDAD (desglose)'!X11</f>
        <v>90000</v>
      </c>
      <c r="X11" s="61">
        <f>+'IMPUNIDAD (desglose)'!Y11</f>
        <v>50000</v>
      </c>
      <c r="Y11" s="61">
        <f>+'IMPUNIDAD (desglose)'!Z11</f>
        <v>64000</v>
      </c>
      <c r="Z11" s="61">
        <f>+'IMPUNIDAD (desglose)'!AA11</f>
        <v>50000</v>
      </c>
      <c r="AA11" s="61">
        <f>+'IMPUNIDAD (desglose)'!AB11</f>
        <v>50200</v>
      </c>
      <c r="AB11" s="61">
        <f>+'IMPUNIDAD (desglose)'!AC11</f>
        <v>59000</v>
      </c>
      <c r="AC11" s="61">
        <f>+'IMPUNIDAD (desglose)'!AD11</f>
        <v>44000</v>
      </c>
      <c r="AD11" s="83">
        <f>SUM(S11:AC11)</f>
        <v>715200</v>
      </c>
      <c r="AE11" s="311"/>
    </row>
    <row r="12" spans="1:33" s="334" customFormat="1" ht="57.6" x14ac:dyDescent="0.3">
      <c r="A12" s="1116"/>
      <c r="B12" s="316" t="s">
        <v>3</v>
      </c>
      <c r="C12" s="245" t="s">
        <v>289</v>
      </c>
      <c r="D12" s="80">
        <f>+R12+AD12</f>
        <v>260000</v>
      </c>
      <c r="E12" s="80">
        <v>0</v>
      </c>
      <c r="F12" s="236">
        <f>+D12+E12</f>
        <v>260000</v>
      </c>
      <c r="G12" s="61">
        <f>+'IMPUNIDAD (desglose)'!H18</f>
        <v>0</v>
      </c>
      <c r="H12" s="61">
        <f>+'IMPUNIDAD (desglose)'!I18</f>
        <v>0</v>
      </c>
      <c r="I12" s="61">
        <f>+'IMPUNIDAD (desglose)'!J18</f>
        <v>0</v>
      </c>
      <c r="J12" s="61">
        <f>+'IMPUNIDAD (desglose)'!K18</f>
        <v>0</v>
      </c>
      <c r="K12" s="61">
        <f>+'IMPUNIDAD (desglose)'!L18</f>
        <v>0</v>
      </c>
      <c r="L12" s="61">
        <f>+'IMPUNIDAD (desglose)'!M18</f>
        <v>0</v>
      </c>
      <c r="M12" s="61">
        <f>+'IMPUNIDAD (desglose)'!N18</f>
        <v>0</v>
      </c>
      <c r="N12" s="61">
        <f>+'IMPUNIDAD (desglose)'!O18</f>
        <v>30000</v>
      </c>
      <c r="O12" s="61">
        <f>+'IMPUNIDAD (desglose)'!P18</f>
        <v>0</v>
      </c>
      <c r="P12" s="61">
        <f>+'IMPUNIDAD (desglose)'!Q18</f>
        <v>20000</v>
      </c>
      <c r="Q12" s="61">
        <f>+'IMPUNIDAD (desglose)'!R18</f>
        <v>20000</v>
      </c>
      <c r="R12" s="83">
        <f>SUM(G12:Q12)</f>
        <v>70000</v>
      </c>
      <c r="S12" s="61">
        <f>+'IMPUNIDAD (desglose)'!T18</f>
        <v>0</v>
      </c>
      <c r="T12" s="61">
        <f>+'IMPUNIDAD (desglose)'!U18</f>
        <v>20000</v>
      </c>
      <c r="U12" s="61">
        <f>+'IMPUNIDAD (desglose)'!V18</f>
        <v>50000</v>
      </c>
      <c r="V12" s="61">
        <f>+'IMPUNIDAD (desglose)'!W18</f>
        <v>20000</v>
      </c>
      <c r="W12" s="61">
        <f>+'IMPUNIDAD (desglose)'!X18</f>
        <v>20000</v>
      </c>
      <c r="X12" s="61">
        <f>+'IMPUNIDAD (desglose)'!Y18</f>
        <v>20000</v>
      </c>
      <c r="Y12" s="61">
        <f>+'IMPUNIDAD (desglose)'!Z18</f>
        <v>20000</v>
      </c>
      <c r="Z12" s="61">
        <f>+'IMPUNIDAD (desglose)'!AA18</f>
        <v>20000</v>
      </c>
      <c r="AA12" s="61">
        <f>+'IMPUNIDAD (desglose)'!AB18</f>
        <v>20000</v>
      </c>
      <c r="AB12" s="61">
        <f>+'IMPUNIDAD (desglose)'!AC18</f>
        <v>0</v>
      </c>
      <c r="AC12" s="61">
        <f>+'IMPUNIDAD (desglose)'!AD18</f>
        <v>0</v>
      </c>
      <c r="AD12" s="83">
        <f>SUM(S12:AC12)</f>
        <v>190000</v>
      </c>
      <c r="AE12" s="311"/>
    </row>
    <row r="13" spans="1:33" s="334" customFormat="1" ht="57.6" x14ac:dyDescent="0.3">
      <c r="A13" s="1116"/>
      <c r="B13" s="316" t="s">
        <v>4</v>
      </c>
      <c r="C13" s="245" t="s">
        <v>555</v>
      </c>
      <c r="D13" s="80"/>
      <c r="E13" s="80">
        <f>+R13+AD13</f>
        <v>200000</v>
      </c>
      <c r="F13" s="236">
        <f>+D13+E13</f>
        <v>200000</v>
      </c>
      <c r="G13" s="61">
        <f>+'IMPUNIDAD (desglose)'!H21</f>
        <v>0</v>
      </c>
      <c r="H13" s="61">
        <f>+'IMPUNIDAD (desglose)'!I21</f>
        <v>0</v>
      </c>
      <c r="I13" s="61">
        <f>+'IMPUNIDAD (desglose)'!J21</f>
        <v>0</v>
      </c>
      <c r="J13" s="61">
        <f>+'IMPUNIDAD (desglose)'!K21</f>
        <v>0</v>
      </c>
      <c r="K13" s="61">
        <f>+'IMPUNIDAD (desglose)'!L21</f>
        <v>0</v>
      </c>
      <c r="L13" s="61">
        <f>+'IMPUNIDAD (desglose)'!M21</f>
        <v>0</v>
      </c>
      <c r="M13" s="61">
        <f>+'IMPUNIDAD (desglose)'!N21</f>
        <v>0</v>
      </c>
      <c r="N13" s="61">
        <f>+'IMPUNIDAD (desglose)'!O21</f>
        <v>0</v>
      </c>
      <c r="O13" s="61">
        <f>+'IMPUNIDAD (desglose)'!P21</f>
        <v>100000</v>
      </c>
      <c r="P13" s="61">
        <f>+'IMPUNIDAD (desglose)'!Q21</f>
        <v>0</v>
      </c>
      <c r="Q13" s="61">
        <f>+'IMPUNIDAD (desglose)'!R21</f>
        <v>0</v>
      </c>
      <c r="R13" s="619">
        <f>SUM(G13:Q13)</f>
        <v>100000</v>
      </c>
      <c r="S13" s="61">
        <f>+'IMPUNIDAD (desglose)'!T21</f>
        <v>0</v>
      </c>
      <c r="T13" s="61">
        <f>+'IMPUNIDAD (desglose)'!U21</f>
        <v>0</v>
      </c>
      <c r="U13" s="61">
        <f>+'IMPUNIDAD (desglose)'!V21</f>
        <v>0</v>
      </c>
      <c r="V13" s="61">
        <f>+'IMPUNIDAD (desglose)'!W21</f>
        <v>100000</v>
      </c>
      <c r="W13" s="61">
        <f>+'IMPUNIDAD (desglose)'!X21</f>
        <v>0</v>
      </c>
      <c r="X13" s="61">
        <f>+'IMPUNIDAD (desglose)'!Y21</f>
        <v>0</v>
      </c>
      <c r="Y13" s="61">
        <f>+'IMPUNIDAD (desglose)'!Z21</f>
        <v>0</v>
      </c>
      <c r="Z13" s="61">
        <f>+'IMPUNIDAD (desglose)'!AA21</f>
        <v>0</v>
      </c>
      <c r="AA13" s="61">
        <f>+'IMPUNIDAD (desglose)'!AB21</f>
        <v>0</v>
      </c>
      <c r="AB13" s="61">
        <f>+'IMPUNIDAD (desglose)'!AC21</f>
        <v>0</v>
      </c>
      <c r="AC13" s="61">
        <f>+'IMPUNIDAD (desglose)'!AD21</f>
        <v>0</v>
      </c>
      <c r="AD13" s="619">
        <f>SUM(S13:AC13)</f>
        <v>100000</v>
      </c>
      <c r="AE13" s="311"/>
    </row>
    <row r="14" spans="1:33" s="334" customFormat="1" ht="86.4" x14ac:dyDescent="0.3">
      <c r="A14" s="1116"/>
      <c r="B14" s="316" t="s">
        <v>8</v>
      </c>
      <c r="C14" s="245" t="s">
        <v>294</v>
      </c>
      <c r="D14" s="80"/>
      <c r="E14" s="80">
        <f>+R14+AD14</f>
        <v>2155250</v>
      </c>
      <c r="F14" s="236">
        <f>+D14+E14</f>
        <v>2155250</v>
      </c>
      <c r="G14" s="61">
        <f>+'IMPUNIDAD (desglose)'!H23</f>
        <v>0</v>
      </c>
      <c r="H14" s="61">
        <f>+'IMPUNIDAD (desglose)'!I23</f>
        <v>0</v>
      </c>
      <c r="I14" s="61">
        <f>+'IMPUNIDAD (desglose)'!J23</f>
        <v>0</v>
      </c>
      <c r="J14" s="61">
        <f>+'IMPUNIDAD (desglose)'!K23</f>
        <v>20000</v>
      </c>
      <c r="K14" s="61">
        <f>+'IMPUNIDAD (desglose)'!L23</f>
        <v>0</v>
      </c>
      <c r="L14" s="61">
        <f>+'IMPUNIDAD (desglose)'!M23</f>
        <v>0</v>
      </c>
      <c r="M14" s="61">
        <f>+'IMPUNIDAD (desglose)'!N23</f>
        <v>0</v>
      </c>
      <c r="N14" s="61">
        <f>+'IMPUNIDAD (desglose)'!O23</f>
        <v>0</v>
      </c>
      <c r="O14" s="61">
        <f>+'IMPUNIDAD (desglose)'!P23</f>
        <v>85250</v>
      </c>
      <c r="P14" s="61">
        <f>+'IMPUNIDAD (desglose)'!Q23</f>
        <v>0</v>
      </c>
      <c r="Q14" s="61">
        <f>+'IMPUNIDAD (desglose)'!R23</f>
        <v>0</v>
      </c>
      <c r="R14" s="619">
        <f>SUM(G14:Q14)</f>
        <v>105250</v>
      </c>
      <c r="S14" s="61">
        <f>+'IMPUNIDAD (desglose)'!T23</f>
        <v>0</v>
      </c>
      <c r="T14" s="61">
        <f>+'IMPUNIDAD (desglose)'!U23</f>
        <v>0</v>
      </c>
      <c r="U14" s="61">
        <f>+'IMPUNIDAD (desglose)'!V23</f>
        <v>2050000</v>
      </c>
      <c r="V14" s="61">
        <f>+'IMPUNIDAD (desglose)'!W23</f>
        <v>0</v>
      </c>
      <c r="W14" s="61">
        <f>+'IMPUNIDAD (desglose)'!X23</f>
        <v>0</v>
      </c>
      <c r="X14" s="61">
        <f>+'IMPUNIDAD (desglose)'!Y23</f>
        <v>0</v>
      </c>
      <c r="Y14" s="61">
        <f>+'IMPUNIDAD (desglose)'!Z23</f>
        <v>0</v>
      </c>
      <c r="Z14" s="61">
        <f>+'IMPUNIDAD (desglose)'!AA23</f>
        <v>0</v>
      </c>
      <c r="AA14" s="61">
        <f>+'IMPUNIDAD (desglose)'!AB23</f>
        <v>0</v>
      </c>
      <c r="AB14" s="61">
        <f>+'IMPUNIDAD (desglose)'!AC23</f>
        <v>0</v>
      </c>
      <c r="AC14" s="61">
        <f>+'IMPUNIDAD (desglose)'!AD23</f>
        <v>0</v>
      </c>
      <c r="AD14" s="619">
        <f>SUM(S14:AC14)</f>
        <v>2050000</v>
      </c>
      <c r="AE14" s="61"/>
    </row>
    <row r="15" spans="1:33" s="334" customFormat="1" ht="72" x14ac:dyDescent="0.3">
      <c r="A15" s="1115"/>
      <c r="B15" s="327" t="s">
        <v>9</v>
      </c>
      <c r="C15" s="328" t="s">
        <v>319</v>
      </c>
      <c r="D15" s="80">
        <f>+R15+AD15</f>
        <v>300000</v>
      </c>
      <c r="E15" s="80">
        <v>0</v>
      </c>
      <c r="F15" s="236">
        <f>+D15+E15</f>
        <v>300000</v>
      </c>
      <c r="G15" s="61">
        <f>+'IMPUNIDAD (desglose)'!H26</f>
        <v>0</v>
      </c>
      <c r="H15" s="61">
        <f>+'IMPUNIDAD (desglose)'!I26</f>
        <v>0</v>
      </c>
      <c r="I15" s="61">
        <f>+'IMPUNIDAD (desglose)'!J26</f>
        <v>0</v>
      </c>
      <c r="J15" s="61">
        <f>+'IMPUNIDAD (desglose)'!K26</f>
        <v>0</v>
      </c>
      <c r="K15" s="61">
        <f>+'IMPUNIDAD (desglose)'!L26</f>
        <v>0</v>
      </c>
      <c r="L15" s="61">
        <f>+'IMPUNIDAD (desglose)'!M26</f>
        <v>0</v>
      </c>
      <c r="M15" s="61">
        <f>+'IMPUNIDAD (desglose)'!N26</f>
        <v>45000</v>
      </c>
      <c r="N15" s="61">
        <f>+'IMPUNIDAD (desglose)'!O26</f>
        <v>45000</v>
      </c>
      <c r="O15" s="61">
        <f>+'IMPUNIDAD (desglose)'!P26</f>
        <v>45000</v>
      </c>
      <c r="P15" s="61">
        <f>+'IMPUNIDAD (desglose)'!Q26</f>
        <v>15000</v>
      </c>
      <c r="Q15" s="61">
        <f>+'IMPUNIDAD (desglose)'!R26</f>
        <v>0</v>
      </c>
      <c r="R15" s="83">
        <f>SUM(G15:Q15)</f>
        <v>150000</v>
      </c>
      <c r="S15" s="61">
        <f>+'IMPUNIDAD (desglose)'!T26</f>
        <v>0</v>
      </c>
      <c r="T15" s="61">
        <f>+'IMPUNIDAD (desglose)'!U26</f>
        <v>0</v>
      </c>
      <c r="U15" s="61">
        <f>+'IMPUNIDAD (desglose)'!V26</f>
        <v>45000</v>
      </c>
      <c r="V15" s="61">
        <f>+'IMPUNIDAD (desglose)'!W26</f>
        <v>0</v>
      </c>
      <c r="W15" s="61">
        <f>+'IMPUNIDAD (desglose)'!X26</f>
        <v>15000</v>
      </c>
      <c r="X15" s="61">
        <f>+'IMPUNIDAD (desglose)'!Y26</f>
        <v>30000</v>
      </c>
      <c r="Y15" s="61">
        <f>+'IMPUNIDAD (desglose)'!Z26</f>
        <v>15000</v>
      </c>
      <c r="Z15" s="61">
        <f>+'IMPUNIDAD (desglose)'!AA26</f>
        <v>0</v>
      </c>
      <c r="AA15" s="61">
        <f>+'IMPUNIDAD (desglose)'!AB26</f>
        <v>45000</v>
      </c>
      <c r="AB15" s="61">
        <f>+'IMPUNIDAD (desglose)'!AC26</f>
        <v>0</v>
      </c>
      <c r="AC15" s="61">
        <f>+'IMPUNIDAD (desglose)'!AD26</f>
        <v>0</v>
      </c>
      <c r="AD15" s="83">
        <f>SUM(S15:AC15)</f>
        <v>150000</v>
      </c>
      <c r="AE15" s="61"/>
    </row>
    <row r="16" spans="1:33" s="67" customFormat="1" ht="30.75" customHeight="1" x14ac:dyDescent="0.3">
      <c r="A16" s="282" t="s">
        <v>293</v>
      </c>
      <c r="B16" s="284"/>
      <c r="C16" s="284"/>
      <c r="D16" s="284"/>
      <c r="E16" s="284"/>
      <c r="F16" s="326"/>
      <c r="G16" s="69"/>
      <c r="H16" s="69"/>
      <c r="I16" s="69"/>
      <c r="J16" s="69"/>
      <c r="K16" s="69"/>
      <c r="L16" s="69"/>
      <c r="M16" s="69"/>
      <c r="N16" s="69"/>
      <c r="O16" s="69"/>
      <c r="P16" s="69"/>
      <c r="Q16" s="69"/>
      <c r="R16" s="69"/>
      <c r="S16" s="69"/>
      <c r="T16" s="69"/>
      <c r="U16" s="69"/>
      <c r="V16" s="69"/>
      <c r="W16" s="69"/>
      <c r="X16" s="69"/>
      <c r="Y16" s="69"/>
      <c r="Z16" s="69"/>
      <c r="AA16" s="69"/>
      <c r="AB16" s="69"/>
      <c r="AC16" s="69"/>
      <c r="AD16" s="69"/>
      <c r="AE16" s="20"/>
    </row>
    <row r="17" spans="1:31" ht="39" customHeight="1" x14ac:dyDescent="0.3">
      <c r="A17" s="1075" t="s">
        <v>760</v>
      </c>
      <c r="B17" s="266"/>
      <c r="C17" s="301"/>
      <c r="D17" s="267">
        <f>SUM(D18:D21)</f>
        <v>2152500</v>
      </c>
      <c r="E17" s="267">
        <f>SUM(E18:E21)</f>
        <v>1763283.8199999998</v>
      </c>
      <c r="F17" s="267">
        <f>SUM(F18:F21)</f>
        <v>3915783.82</v>
      </c>
      <c r="G17" s="267">
        <f t="shared" ref="G17:AD17" si="2">+G18+G19+G20+G21</f>
        <v>0</v>
      </c>
      <c r="H17" s="267">
        <f t="shared" si="2"/>
        <v>0</v>
      </c>
      <c r="I17" s="267">
        <f t="shared" si="2"/>
        <v>0</v>
      </c>
      <c r="J17" s="267">
        <f t="shared" si="2"/>
        <v>46000</v>
      </c>
      <c r="K17" s="267">
        <f t="shared" si="2"/>
        <v>147000</v>
      </c>
      <c r="L17" s="267">
        <f t="shared" si="2"/>
        <v>22000</v>
      </c>
      <c r="M17" s="267">
        <f t="shared" si="2"/>
        <v>113000</v>
      </c>
      <c r="N17" s="267">
        <f t="shared" si="2"/>
        <v>321000</v>
      </c>
      <c r="O17" s="267">
        <f t="shared" si="2"/>
        <v>140500</v>
      </c>
      <c r="P17" s="267">
        <f t="shared" si="2"/>
        <v>183500</v>
      </c>
      <c r="Q17" s="267">
        <f t="shared" si="2"/>
        <v>119000</v>
      </c>
      <c r="R17" s="267">
        <f t="shared" si="2"/>
        <v>1092000</v>
      </c>
      <c r="S17" s="267">
        <f t="shared" si="2"/>
        <v>44000</v>
      </c>
      <c r="T17" s="267">
        <f t="shared" si="2"/>
        <v>1018533.82</v>
      </c>
      <c r="U17" s="267">
        <f t="shared" si="2"/>
        <v>164000</v>
      </c>
      <c r="V17" s="267">
        <f t="shared" si="2"/>
        <v>735250</v>
      </c>
      <c r="W17" s="267">
        <f t="shared" si="2"/>
        <v>140500</v>
      </c>
      <c r="X17" s="267">
        <f t="shared" si="2"/>
        <v>139000</v>
      </c>
      <c r="Y17" s="267">
        <f t="shared" si="2"/>
        <v>139000</v>
      </c>
      <c r="Z17" s="267">
        <f t="shared" si="2"/>
        <v>121000</v>
      </c>
      <c r="AA17" s="267">
        <f t="shared" si="2"/>
        <v>154500</v>
      </c>
      <c r="AB17" s="267">
        <f t="shared" si="2"/>
        <v>99000</v>
      </c>
      <c r="AC17" s="267">
        <f t="shared" si="2"/>
        <v>69000</v>
      </c>
      <c r="AD17" s="267">
        <f t="shared" si="2"/>
        <v>2823783.82</v>
      </c>
      <c r="AE17" s="266"/>
    </row>
    <row r="18" spans="1:31" s="333" customFormat="1" ht="72" x14ac:dyDescent="0.3">
      <c r="A18" s="1076"/>
      <c r="B18" s="316" t="s">
        <v>2</v>
      </c>
      <c r="C18" s="232" t="s">
        <v>314</v>
      </c>
      <c r="D18" s="80">
        <f>+R18+AD18</f>
        <v>934000</v>
      </c>
      <c r="E18" s="80">
        <v>0</v>
      </c>
      <c r="F18" s="236">
        <f>+D18+E18</f>
        <v>934000</v>
      </c>
      <c r="G18" s="61">
        <f>+'IMPUNIDAD (desglose)'!H31</f>
        <v>0</v>
      </c>
      <c r="H18" s="61">
        <f>+'IMPUNIDAD (desglose)'!I31</f>
        <v>0</v>
      </c>
      <c r="I18" s="61">
        <f>+'IMPUNIDAD (desglose)'!J31</f>
        <v>0</v>
      </c>
      <c r="J18" s="61">
        <f>+'IMPUNIDAD (desglose)'!K31</f>
        <v>11000</v>
      </c>
      <c r="K18" s="61">
        <f>+'IMPUNIDAD (desglose)'!L31</f>
        <v>22000</v>
      </c>
      <c r="L18" s="61">
        <f>+'IMPUNIDAD (desglose)'!M31</f>
        <v>22000</v>
      </c>
      <c r="M18" s="61">
        <f>+'IMPUNIDAD (desglose)'!N31</f>
        <v>26000</v>
      </c>
      <c r="N18" s="61">
        <f>+'IMPUNIDAD (desglose)'!O31</f>
        <v>26000</v>
      </c>
      <c r="O18" s="61">
        <f>+'IMPUNIDAD (desglose)'!P31</f>
        <v>48000</v>
      </c>
      <c r="P18" s="61">
        <f>+'IMPUNIDAD (desglose)'!Q31</f>
        <v>89000</v>
      </c>
      <c r="Q18" s="61">
        <f>+'IMPUNIDAD (desglose)'!R31</f>
        <v>44000</v>
      </c>
      <c r="R18" s="83">
        <f>SUM(G18:Q18)</f>
        <v>288000</v>
      </c>
      <c r="S18" s="61">
        <f>+'IMPUNIDAD (desglose)'!T31</f>
        <v>44000</v>
      </c>
      <c r="T18" s="61">
        <f>+'IMPUNIDAD (desglose)'!U31</f>
        <v>46500</v>
      </c>
      <c r="U18" s="61">
        <f>+'IMPUNIDAD (desglose)'!V31</f>
        <v>44000</v>
      </c>
      <c r="V18" s="61">
        <f>+'IMPUNIDAD (desglose)'!W31</f>
        <v>46500</v>
      </c>
      <c r="W18" s="61">
        <f>+'IMPUNIDAD (desglose)'!X31</f>
        <v>44000</v>
      </c>
      <c r="X18" s="61">
        <f>+'IMPUNIDAD (desglose)'!Y31</f>
        <v>71500</v>
      </c>
      <c r="Y18" s="61">
        <f>+'IMPUNIDAD (desglose)'!Z31</f>
        <v>69000</v>
      </c>
      <c r="Z18" s="61">
        <f>+'IMPUNIDAD (desglose)'!AA31</f>
        <v>71000</v>
      </c>
      <c r="AA18" s="61">
        <f>+'IMPUNIDAD (desglose)'!AB31</f>
        <v>71500</v>
      </c>
      <c r="AB18" s="61">
        <f>+'IMPUNIDAD (desglose)'!AC31</f>
        <v>69000</v>
      </c>
      <c r="AC18" s="61">
        <f>+'IMPUNIDAD (desglose)'!AD31</f>
        <v>69000</v>
      </c>
      <c r="AD18" s="83">
        <f>SUM(S18:AC18)</f>
        <v>646000</v>
      </c>
      <c r="AE18" s="311"/>
    </row>
    <row r="19" spans="1:31" s="333" customFormat="1" ht="100.8" x14ac:dyDescent="0.3">
      <c r="A19" s="1076"/>
      <c r="B19" s="316" t="s">
        <v>3</v>
      </c>
      <c r="C19" s="232" t="s">
        <v>296</v>
      </c>
      <c r="D19" s="80">
        <f>+R19+AD19</f>
        <v>1117500</v>
      </c>
      <c r="E19" s="80">
        <v>0</v>
      </c>
      <c r="F19" s="236">
        <f>+D19+E19</f>
        <v>1117500</v>
      </c>
      <c r="G19" s="61">
        <f>+'IMPUNIDAD (desglose)'!H37</f>
        <v>0</v>
      </c>
      <c r="H19" s="61">
        <f>+'IMPUNIDAD (desglose)'!I37</f>
        <v>0</v>
      </c>
      <c r="I19" s="61">
        <f>+'IMPUNIDAD (desglose)'!J37</f>
        <v>0</v>
      </c>
      <c r="J19" s="61">
        <f>+'IMPUNIDAD (desglose)'!K37</f>
        <v>35000</v>
      </c>
      <c r="K19" s="61">
        <f>+'IMPUNIDAD (desglose)'!L37</f>
        <v>125000</v>
      </c>
      <c r="L19" s="61">
        <f>+'IMPUNIDAD (desglose)'!M37</f>
        <v>0</v>
      </c>
      <c r="M19" s="61">
        <f>+'IMPUNIDAD (desglose)'!N37</f>
        <v>11000</v>
      </c>
      <c r="N19" s="61">
        <f>+'IMPUNIDAD (desglose)'!O37</f>
        <v>45000</v>
      </c>
      <c r="O19" s="61">
        <f>+'IMPUNIDAD (desglose)'!P37</f>
        <v>92500</v>
      </c>
      <c r="P19" s="61">
        <f>+'IMPUNIDAD (desglose)'!Q37</f>
        <v>94500</v>
      </c>
      <c r="Q19" s="61">
        <f>+'IMPUNIDAD (desglose)'!R37</f>
        <v>75000</v>
      </c>
      <c r="R19" s="83">
        <f>SUM(G19:Q19)</f>
        <v>478000</v>
      </c>
      <c r="S19" s="61">
        <f>+'IMPUNIDAD (desglose)'!T37</f>
        <v>0</v>
      </c>
      <c r="T19" s="61">
        <f>+'IMPUNIDAD (desglose)'!U37</f>
        <v>80000</v>
      </c>
      <c r="U19" s="61">
        <f>+'IMPUNIDAD (desglose)'!V37</f>
        <v>95000</v>
      </c>
      <c r="V19" s="61">
        <f>+'IMPUNIDAD (desglose)'!W37</f>
        <v>67500</v>
      </c>
      <c r="W19" s="61">
        <f>+'IMPUNIDAD (desglose)'!X37</f>
        <v>96500</v>
      </c>
      <c r="X19" s="61">
        <f>+'IMPUNIDAD (desglose)'!Y37</f>
        <v>67500</v>
      </c>
      <c r="Y19" s="61">
        <f>+'IMPUNIDAD (desglose)'!Z37</f>
        <v>70000</v>
      </c>
      <c r="Z19" s="61">
        <f>+'IMPUNIDAD (desglose)'!AA37</f>
        <v>50000</v>
      </c>
      <c r="AA19" s="61">
        <f>+'IMPUNIDAD (desglose)'!AB37</f>
        <v>83000</v>
      </c>
      <c r="AB19" s="61">
        <f>+'IMPUNIDAD (desglose)'!AC37</f>
        <v>30000</v>
      </c>
      <c r="AC19" s="61">
        <f>+'IMPUNIDAD (desglose)'!AD37</f>
        <v>0</v>
      </c>
      <c r="AD19" s="83">
        <f>SUM(S19:AC19)</f>
        <v>639500</v>
      </c>
      <c r="AE19" s="311"/>
    </row>
    <row r="20" spans="1:31" s="333" customFormat="1" ht="57.6" x14ac:dyDescent="0.3">
      <c r="A20" s="1076"/>
      <c r="B20" s="316" t="s">
        <v>4</v>
      </c>
      <c r="C20" s="232" t="s">
        <v>588</v>
      </c>
      <c r="D20" s="80"/>
      <c r="E20" s="80">
        <f>+R20+AD20</f>
        <v>1763283.8199999998</v>
      </c>
      <c r="F20" s="236">
        <f>+D20+E20</f>
        <v>1763283.8199999998</v>
      </c>
      <c r="G20" s="61">
        <f>+'IMPUNIDAD (desglose)'!H43</f>
        <v>0</v>
      </c>
      <c r="H20" s="61">
        <f>+'IMPUNIDAD (desglose)'!I43</f>
        <v>0</v>
      </c>
      <c r="I20" s="61">
        <f>+'IMPUNIDAD (desglose)'!J43</f>
        <v>0</v>
      </c>
      <c r="J20" s="61">
        <f>+'IMPUNIDAD (desglose)'!K43</f>
        <v>0</v>
      </c>
      <c r="K20" s="61">
        <f>+'IMPUNIDAD (desglose)'!L43</f>
        <v>0</v>
      </c>
      <c r="L20" s="61">
        <f>+'IMPUNIDAD (desglose)'!M43</f>
        <v>0</v>
      </c>
      <c r="M20" s="61">
        <f>+'IMPUNIDAD (desglose)'!N43</f>
        <v>0</v>
      </c>
      <c r="N20" s="61">
        <f>+'IMPUNIDAD (desglose)'!O43</f>
        <v>250000</v>
      </c>
      <c r="O20" s="61">
        <f>+'IMPUNIDAD (desglose)'!P43</f>
        <v>0</v>
      </c>
      <c r="P20" s="61">
        <f>+'IMPUNIDAD (desglose)'!Q43</f>
        <v>0</v>
      </c>
      <c r="Q20" s="61">
        <f>+'IMPUNIDAD (desglose)'!R43</f>
        <v>0</v>
      </c>
      <c r="R20" s="619">
        <f>SUM(G20:Q20)</f>
        <v>250000</v>
      </c>
      <c r="S20" s="61">
        <f>+'IMPUNIDAD (desglose)'!T43</f>
        <v>0</v>
      </c>
      <c r="T20" s="61">
        <f>+'IMPUNIDAD (desglose)'!U43</f>
        <v>892033.82</v>
      </c>
      <c r="U20" s="61">
        <f>+'IMPUNIDAD (desglose)'!V43</f>
        <v>0</v>
      </c>
      <c r="V20" s="61">
        <f>+'IMPUNIDAD (desglose)'!W43</f>
        <v>621250</v>
      </c>
      <c r="W20" s="61">
        <f>+'IMPUNIDAD (desglose)'!X43</f>
        <v>0</v>
      </c>
      <c r="X20" s="61">
        <f>+'IMPUNIDAD (desglose)'!Y43</f>
        <v>0</v>
      </c>
      <c r="Y20" s="61">
        <f>+'IMPUNIDAD (desglose)'!Z43</f>
        <v>0</v>
      </c>
      <c r="Z20" s="61">
        <f>+'IMPUNIDAD (desglose)'!AA43</f>
        <v>0</v>
      </c>
      <c r="AA20" s="61">
        <f>+'IMPUNIDAD (desglose)'!AB43</f>
        <v>0</v>
      </c>
      <c r="AB20" s="61">
        <f>+'IMPUNIDAD (desglose)'!AC43</f>
        <v>0</v>
      </c>
      <c r="AC20" s="61">
        <f>+'IMPUNIDAD (desglose)'!AD43</f>
        <v>0</v>
      </c>
      <c r="AD20" s="619">
        <f>SUM(S20:AC20)</f>
        <v>1513283.8199999998</v>
      </c>
      <c r="AE20" s="61" t="e">
        <f>SUM(#REF!)</f>
        <v>#REF!</v>
      </c>
    </row>
    <row r="21" spans="1:31" s="333" customFormat="1" ht="86.4" x14ac:dyDescent="0.3">
      <c r="A21" s="1077"/>
      <c r="B21" s="311" t="s">
        <v>8</v>
      </c>
      <c r="C21" s="273" t="s">
        <v>306</v>
      </c>
      <c r="D21" s="80">
        <f>+R21+AD21</f>
        <v>101000</v>
      </c>
      <c r="E21" s="80">
        <v>0</v>
      </c>
      <c r="F21" s="236">
        <f>+D21+E21</f>
        <v>101000</v>
      </c>
      <c r="G21" s="61">
        <f>+'IMPUNIDAD (desglose)'!H46</f>
        <v>0</v>
      </c>
      <c r="H21" s="61">
        <f>+'IMPUNIDAD (desglose)'!I46</f>
        <v>0</v>
      </c>
      <c r="I21" s="61">
        <f>+'IMPUNIDAD (desglose)'!J46</f>
        <v>0</v>
      </c>
      <c r="J21" s="61">
        <f>+'IMPUNIDAD (desglose)'!K46</f>
        <v>0</v>
      </c>
      <c r="K21" s="61">
        <f>+'IMPUNIDAD (desglose)'!L46</f>
        <v>0</v>
      </c>
      <c r="L21" s="61">
        <f>+'IMPUNIDAD (desglose)'!M46</f>
        <v>0</v>
      </c>
      <c r="M21" s="61">
        <f>+'IMPUNIDAD (desglose)'!N46</f>
        <v>76000</v>
      </c>
      <c r="N21" s="61">
        <f>+'IMPUNIDAD (desglose)'!O46</f>
        <v>0</v>
      </c>
      <c r="O21" s="61">
        <f>+'IMPUNIDAD (desglose)'!P46</f>
        <v>0</v>
      </c>
      <c r="P21" s="61">
        <f>+'IMPUNIDAD (desglose)'!Q46</f>
        <v>0</v>
      </c>
      <c r="Q21" s="61">
        <f>+'IMPUNIDAD (desglose)'!R46</f>
        <v>0</v>
      </c>
      <c r="R21" s="83">
        <f>SUM(G21:Q21)</f>
        <v>76000</v>
      </c>
      <c r="S21" s="61">
        <f>+'IMPUNIDAD (desglose)'!T46</f>
        <v>0</v>
      </c>
      <c r="T21" s="61">
        <f>+'IMPUNIDAD (desglose)'!U46</f>
        <v>0</v>
      </c>
      <c r="U21" s="61">
        <f>+'IMPUNIDAD (desglose)'!V46</f>
        <v>25000</v>
      </c>
      <c r="V21" s="61">
        <f>+'IMPUNIDAD (desglose)'!W46</f>
        <v>0</v>
      </c>
      <c r="W21" s="61">
        <f>+'IMPUNIDAD (desglose)'!X46</f>
        <v>0</v>
      </c>
      <c r="X21" s="61">
        <f>+'IMPUNIDAD (desglose)'!Y46</f>
        <v>0</v>
      </c>
      <c r="Y21" s="61">
        <f>+'IMPUNIDAD (desglose)'!Z46</f>
        <v>0</v>
      </c>
      <c r="Z21" s="61">
        <f>+'IMPUNIDAD (desglose)'!AA46</f>
        <v>0</v>
      </c>
      <c r="AA21" s="61">
        <f>+'IMPUNIDAD (desglose)'!AB46</f>
        <v>0</v>
      </c>
      <c r="AB21" s="61">
        <f>+'IMPUNIDAD (desglose)'!AC46</f>
        <v>0</v>
      </c>
      <c r="AC21" s="61">
        <f>+'IMPUNIDAD (desglose)'!AD46</f>
        <v>0</v>
      </c>
      <c r="AD21" s="83">
        <f>SUM(S21:AC21)</f>
        <v>25000</v>
      </c>
      <c r="AE21" s="311"/>
    </row>
    <row r="22" spans="1:31" ht="29.25" customHeight="1" x14ac:dyDescent="0.3">
      <c r="A22" s="332" t="s">
        <v>106</v>
      </c>
      <c r="B22" s="324"/>
      <c r="C22" s="324"/>
      <c r="D22" s="324"/>
      <c r="E22" s="324"/>
      <c r="F22" s="755"/>
      <c r="G22" s="212"/>
      <c r="H22" s="212"/>
      <c r="I22" s="212"/>
      <c r="J22" s="212"/>
      <c r="K22" s="212"/>
      <c r="L22" s="212"/>
      <c r="M22" s="212"/>
      <c r="N22" s="212"/>
      <c r="O22" s="212"/>
      <c r="P22" s="212"/>
      <c r="Q22" s="212"/>
      <c r="R22" s="213"/>
      <c r="S22" s="212"/>
      <c r="T22" s="212"/>
      <c r="U22" s="212"/>
      <c r="V22" s="212"/>
      <c r="W22" s="212"/>
      <c r="X22" s="212"/>
      <c r="Y22" s="212"/>
      <c r="Z22" s="212"/>
      <c r="AA22" s="212"/>
      <c r="AB22" s="212"/>
      <c r="AC22" s="212"/>
      <c r="AD22" s="213"/>
      <c r="AE22" s="306"/>
    </row>
    <row r="23" spans="1:31" ht="33" customHeight="1" x14ac:dyDescent="0.3">
      <c r="A23" s="331" t="s">
        <v>107</v>
      </c>
      <c r="B23" s="325"/>
      <c r="C23" s="325"/>
      <c r="D23" s="325"/>
      <c r="E23" s="325"/>
      <c r="F23" s="326"/>
      <c r="G23" s="69"/>
      <c r="H23" s="69"/>
      <c r="I23" s="69"/>
      <c r="J23" s="69"/>
      <c r="K23" s="69"/>
      <c r="L23" s="69"/>
      <c r="M23" s="69"/>
      <c r="N23" s="69"/>
      <c r="O23" s="69"/>
      <c r="P23" s="69"/>
      <c r="Q23" s="69"/>
      <c r="R23" s="69"/>
      <c r="S23" s="69"/>
      <c r="T23" s="69"/>
      <c r="U23" s="69"/>
      <c r="V23" s="69"/>
      <c r="W23" s="69"/>
      <c r="X23" s="69"/>
      <c r="Y23" s="69"/>
      <c r="Z23" s="69"/>
      <c r="AA23" s="69"/>
      <c r="AB23" s="69"/>
      <c r="AC23" s="69"/>
      <c r="AD23" s="69"/>
      <c r="AE23" s="20"/>
    </row>
    <row r="24" spans="1:31" ht="42.75" customHeight="1" x14ac:dyDescent="0.3">
      <c r="A24" s="1117" t="s">
        <v>724</v>
      </c>
      <c r="B24" s="266"/>
      <c r="C24" s="301"/>
      <c r="D24" s="267">
        <f t="shared" ref="D24:N24" si="3">SUM(D25)</f>
        <v>0</v>
      </c>
      <c r="E24" s="267">
        <f t="shared" si="3"/>
        <v>550000</v>
      </c>
      <c r="F24" s="267">
        <f t="shared" si="3"/>
        <v>550000</v>
      </c>
      <c r="G24" s="267">
        <f t="shared" si="3"/>
        <v>0</v>
      </c>
      <c r="H24" s="267">
        <f t="shared" si="3"/>
        <v>0</v>
      </c>
      <c r="I24" s="267">
        <f t="shared" si="3"/>
        <v>0</v>
      </c>
      <c r="J24" s="267">
        <f t="shared" si="3"/>
        <v>550000</v>
      </c>
      <c r="K24" s="267">
        <f t="shared" si="3"/>
        <v>0</v>
      </c>
      <c r="L24" s="267">
        <f t="shared" si="3"/>
        <v>0</v>
      </c>
      <c r="M24" s="267">
        <f t="shared" si="3"/>
        <v>0</v>
      </c>
      <c r="N24" s="267">
        <f t="shared" si="3"/>
        <v>0</v>
      </c>
      <c r="O24" s="267">
        <f t="shared" ref="O24:T24" si="4">SUM(O25)</f>
        <v>0</v>
      </c>
      <c r="P24" s="267">
        <f t="shared" si="4"/>
        <v>0</v>
      </c>
      <c r="Q24" s="267">
        <f t="shared" si="4"/>
        <v>0</v>
      </c>
      <c r="R24" s="267">
        <f t="shared" si="4"/>
        <v>550000</v>
      </c>
      <c r="S24" s="267">
        <f t="shared" si="4"/>
        <v>0</v>
      </c>
      <c r="T24" s="267">
        <f t="shared" si="4"/>
        <v>0</v>
      </c>
      <c r="U24" s="267">
        <f t="shared" ref="U24:AE24" si="5">SUM(U25)</f>
        <v>0</v>
      </c>
      <c r="V24" s="267">
        <f t="shared" si="5"/>
        <v>0</v>
      </c>
      <c r="W24" s="267">
        <f t="shared" si="5"/>
        <v>0</v>
      </c>
      <c r="X24" s="267">
        <f t="shared" si="5"/>
        <v>0</v>
      </c>
      <c r="Y24" s="267">
        <f t="shared" si="5"/>
        <v>0</v>
      </c>
      <c r="Z24" s="267">
        <f t="shared" si="5"/>
        <v>0</v>
      </c>
      <c r="AA24" s="267">
        <f t="shared" si="5"/>
        <v>0</v>
      </c>
      <c r="AB24" s="267">
        <f t="shared" si="5"/>
        <v>0</v>
      </c>
      <c r="AC24" s="267">
        <f t="shared" si="5"/>
        <v>0</v>
      </c>
      <c r="AD24" s="267">
        <f t="shared" si="5"/>
        <v>0</v>
      </c>
      <c r="AE24" s="267">
        <f t="shared" si="5"/>
        <v>0</v>
      </c>
    </row>
    <row r="25" spans="1:31" s="333" customFormat="1" ht="123.6" customHeight="1" x14ac:dyDescent="0.3">
      <c r="A25" s="1118"/>
      <c r="B25" s="327" t="s">
        <v>2</v>
      </c>
      <c r="C25" s="706" t="s">
        <v>712</v>
      </c>
      <c r="D25" s="80">
        <f>+'IMPUNIDAD (desglose)'!E54</f>
        <v>0</v>
      </c>
      <c r="E25" s="80">
        <f>+'IMPUNIDAD (desglose)'!F54</f>
        <v>550000</v>
      </c>
      <c r="F25" s="236">
        <f>+D25+E25</f>
        <v>550000</v>
      </c>
      <c r="G25" s="61">
        <f>+'IMPUNIDAD (desglose)'!H54</f>
        <v>0</v>
      </c>
      <c r="H25" s="61">
        <f>+'IMPUNIDAD (desglose)'!I54</f>
        <v>0</v>
      </c>
      <c r="I25" s="61">
        <f>+'IMPUNIDAD (desglose)'!J54</f>
        <v>0</v>
      </c>
      <c r="J25" s="61">
        <f>+'IMPUNIDAD (desglose)'!K54</f>
        <v>550000</v>
      </c>
      <c r="K25" s="61">
        <f>+'IMPUNIDAD (desglose)'!L54</f>
        <v>0</v>
      </c>
      <c r="L25" s="61">
        <f>+'IMPUNIDAD (desglose)'!M54</f>
        <v>0</v>
      </c>
      <c r="M25" s="61">
        <f>+'IMPUNIDAD (desglose)'!N54</f>
        <v>0</v>
      </c>
      <c r="N25" s="61">
        <f>+'IMPUNIDAD (desglose)'!O54</f>
        <v>0</v>
      </c>
      <c r="O25" s="61">
        <f>+'IMPUNIDAD (desglose)'!P54</f>
        <v>0</v>
      </c>
      <c r="P25" s="61">
        <f>+'IMPUNIDAD (desglose)'!Q54</f>
        <v>0</v>
      </c>
      <c r="Q25" s="61">
        <f>+'IMPUNIDAD (desglose)'!R54</f>
        <v>0</v>
      </c>
      <c r="R25" s="619">
        <f>SUM(G25:Q25)</f>
        <v>550000</v>
      </c>
      <c r="S25" s="61">
        <f>+'IMPUNIDAD (desglose)'!T54</f>
        <v>0</v>
      </c>
      <c r="T25" s="61">
        <f>+'IMPUNIDAD (desglose)'!U54</f>
        <v>0</v>
      </c>
      <c r="U25" s="61">
        <f>+'IMPUNIDAD (desglose)'!V54</f>
        <v>0</v>
      </c>
      <c r="V25" s="61">
        <f>+'IMPUNIDAD (desglose)'!W54</f>
        <v>0</v>
      </c>
      <c r="W25" s="61">
        <f>+'IMPUNIDAD (desglose)'!X54</f>
        <v>0</v>
      </c>
      <c r="X25" s="61">
        <f>+'IMPUNIDAD (desglose)'!Y54</f>
        <v>0</v>
      </c>
      <c r="Y25" s="61">
        <f>+'IMPUNIDAD (desglose)'!Z54</f>
        <v>0</v>
      </c>
      <c r="Z25" s="61">
        <f>+'IMPUNIDAD (desglose)'!AA54</f>
        <v>0</v>
      </c>
      <c r="AA25" s="61">
        <f>+'IMPUNIDAD (desglose)'!AB54</f>
        <v>0</v>
      </c>
      <c r="AB25" s="61">
        <f>+'IMPUNIDAD (desglose)'!AC54</f>
        <v>0</v>
      </c>
      <c r="AC25" s="61">
        <f>+'IMPUNIDAD (desglose)'!AD54</f>
        <v>0</v>
      </c>
      <c r="AD25" s="83">
        <f>SUM(S25:AC25)</f>
        <v>0</v>
      </c>
      <c r="AE25" s="311"/>
    </row>
    <row r="26" spans="1:31" ht="42.75" customHeight="1" x14ac:dyDescent="0.3">
      <c r="A26" s="1075" t="s">
        <v>108</v>
      </c>
      <c r="B26" s="266"/>
      <c r="C26" s="301"/>
      <c r="D26" s="267">
        <f t="shared" ref="D26:AD26" si="6">SUM(D27:D28)</f>
        <v>135000</v>
      </c>
      <c r="E26" s="267">
        <f t="shared" si="6"/>
        <v>1483200</v>
      </c>
      <c r="F26" s="267">
        <f t="shared" si="6"/>
        <v>1618200</v>
      </c>
      <c r="G26" s="267">
        <f t="shared" si="6"/>
        <v>0</v>
      </c>
      <c r="H26" s="267">
        <f t="shared" si="6"/>
        <v>0</v>
      </c>
      <c r="I26" s="267">
        <f t="shared" si="6"/>
        <v>0</v>
      </c>
      <c r="J26" s="267">
        <f t="shared" si="6"/>
        <v>500000</v>
      </c>
      <c r="K26" s="267">
        <f t="shared" si="6"/>
        <v>0</v>
      </c>
      <c r="L26" s="267">
        <f t="shared" si="6"/>
        <v>0</v>
      </c>
      <c r="M26" s="267">
        <f t="shared" si="6"/>
        <v>35000</v>
      </c>
      <c r="N26" s="267">
        <f t="shared" si="6"/>
        <v>529400</v>
      </c>
      <c r="O26" s="267">
        <f t="shared" si="6"/>
        <v>35000</v>
      </c>
      <c r="P26" s="267">
        <f t="shared" si="6"/>
        <v>30000</v>
      </c>
      <c r="Q26" s="267">
        <f t="shared" si="6"/>
        <v>0</v>
      </c>
      <c r="R26" s="267">
        <f t="shared" si="6"/>
        <v>1129400</v>
      </c>
      <c r="S26" s="267">
        <f t="shared" si="6"/>
        <v>0</v>
      </c>
      <c r="T26" s="267">
        <f t="shared" si="6"/>
        <v>0</v>
      </c>
      <c r="U26" s="267">
        <f t="shared" si="6"/>
        <v>488800</v>
      </c>
      <c r="V26" s="267">
        <f t="shared" si="6"/>
        <v>0</v>
      </c>
      <c r="W26" s="267">
        <f t="shared" si="6"/>
        <v>0</v>
      </c>
      <c r="X26" s="267">
        <f t="shared" si="6"/>
        <v>0</v>
      </c>
      <c r="Y26" s="267">
        <f t="shared" si="6"/>
        <v>0</v>
      </c>
      <c r="Z26" s="267">
        <f t="shared" si="6"/>
        <v>0</v>
      </c>
      <c r="AA26" s="267">
        <f t="shared" si="6"/>
        <v>0</v>
      </c>
      <c r="AB26" s="267">
        <f t="shared" si="6"/>
        <v>0</v>
      </c>
      <c r="AC26" s="267">
        <f t="shared" si="6"/>
        <v>0</v>
      </c>
      <c r="AD26" s="267">
        <f t="shared" si="6"/>
        <v>488800</v>
      </c>
      <c r="AE26" s="266"/>
    </row>
    <row r="27" spans="1:31" s="333" customFormat="1" ht="109.2" customHeight="1" x14ac:dyDescent="0.3">
      <c r="A27" s="1076"/>
      <c r="B27" s="316" t="s">
        <v>2</v>
      </c>
      <c r="C27" s="274" t="s">
        <v>355</v>
      </c>
      <c r="D27" s="80">
        <f>+'IMPUNIDAD (desglose)'!E56</f>
        <v>135000</v>
      </c>
      <c r="E27" s="80">
        <f>+'IMPUNIDAD (desglose)'!F56</f>
        <v>0</v>
      </c>
      <c r="F27" s="236">
        <f>+D27+E27</f>
        <v>135000</v>
      </c>
      <c r="G27" s="61">
        <f>+'IMPUNIDAD (desglose)'!H56</f>
        <v>0</v>
      </c>
      <c r="H27" s="61">
        <f>+'IMPUNIDAD (desglose)'!I56</f>
        <v>0</v>
      </c>
      <c r="I27" s="61">
        <f>+'IMPUNIDAD (desglose)'!J56</f>
        <v>0</v>
      </c>
      <c r="J27" s="61">
        <f>+'IMPUNIDAD (desglose)'!K56</f>
        <v>0</v>
      </c>
      <c r="K27" s="61">
        <f>+'IMPUNIDAD (desglose)'!L56</f>
        <v>0</v>
      </c>
      <c r="L27" s="61">
        <f>+'IMPUNIDAD (desglose)'!M56</f>
        <v>0</v>
      </c>
      <c r="M27" s="61">
        <f>+'IMPUNIDAD (desglose)'!N56</f>
        <v>35000</v>
      </c>
      <c r="N27" s="61">
        <f>+'IMPUNIDAD (desglose)'!O56</f>
        <v>35000</v>
      </c>
      <c r="O27" s="61">
        <f>+'IMPUNIDAD (desglose)'!P56</f>
        <v>35000</v>
      </c>
      <c r="P27" s="61">
        <f>+'IMPUNIDAD (desglose)'!Q56</f>
        <v>30000</v>
      </c>
      <c r="Q27" s="61">
        <f>+'IMPUNIDAD (desglose)'!R56</f>
        <v>0</v>
      </c>
      <c r="R27" s="83">
        <f>SUM(G27:Q27)</f>
        <v>135000</v>
      </c>
      <c r="S27" s="61">
        <f>+'IMPUNIDAD (desglose)'!T56</f>
        <v>0</v>
      </c>
      <c r="T27" s="61">
        <f>+'IMPUNIDAD (desglose)'!U56</f>
        <v>0</v>
      </c>
      <c r="U27" s="61">
        <f>+'IMPUNIDAD (desglose)'!V56</f>
        <v>0</v>
      </c>
      <c r="V27" s="61">
        <f>+'IMPUNIDAD (desglose)'!W56</f>
        <v>0</v>
      </c>
      <c r="W27" s="61">
        <f>+'IMPUNIDAD (desglose)'!X56</f>
        <v>0</v>
      </c>
      <c r="X27" s="61">
        <f>+'IMPUNIDAD (desglose)'!Y56</f>
        <v>0</v>
      </c>
      <c r="Y27" s="61">
        <f>+'IMPUNIDAD (desglose)'!Z56</f>
        <v>0</v>
      </c>
      <c r="Z27" s="61">
        <f>+'IMPUNIDAD (desglose)'!AA56</f>
        <v>0</v>
      </c>
      <c r="AA27" s="61">
        <f>+'IMPUNIDAD (desglose)'!AB56</f>
        <v>0</v>
      </c>
      <c r="AB27" s="61">
        <f>+'IMPUNIDAD (desglose)'!AC56</f>
        <v>0</v>
      </c>
      <c r="AC27" s="61">
        <f>+'IMPUNIDAD (desglose)'!AD56</f>
        <v>0</v>
      </c>
      <c r="AD27" s="83">
        <f>SUM(S27:AC27)</f>
        <v>0</v>
      </c>
      <c r="AE27" s="311"/>
    </row>
    <row r="28" spans="1:31" s="333" customFormat="1" ht="123.6" customHeight="1" x14ac:dyDescent="0.3">
      <c r="A28" s="1077"/>
      <c r="B28" s="316" t="s">
        <v>3</v>
      </c>
      <c r="C28" s="274" t="s">
        <v>356</v>
      </c>
      <c r="D28" s="80"/>
      <c r="E28" s="80">
        <f>+R28+AD28</f>
        <v>1483200</v>
      </c>
      <c r="F28" s="236">
        <f>+D28+E28</f>
        <v>1483200</v>
      </c>
      <c r="G28" s="61">
        <f>+'IMPUNIDAD (desglose)'!H59</f>
        <v>0</v>
      </c>
      <c r="H28" s="61">
        <f>+'IMPUNIDAD (desglose)'!I59</f>
        <v>0</v>
      </c>
      <c r="I28" s="61">
        <f>+'IMPUNIDAD (desglose)'!J59</f>
        <v>0</v>
      </c>
      <c r="J28" s="61">
        <f>+'IMPUNIDAD (desglose)'!K59</f>
        <v>500000</v>
      </c>
      <c r="K28" s="61">
        <f>+'IMPUNIDAD (desglose)'!L59</f>
        <v>0</v>
      </c>
      <c r="L28" s="61">
        <f>+'IMPUNIDAD (desglose)'!M59</f>
        <v>0</v>
      </c>
      <c r="M28" s="61">
        <f>+'IMPUNIDAD (desglose)'!N59</f>
        <v>0</v>
      </c>
      <c r="N28" s="61">
        <f>+'IMPUNIDAD (desglose)'!O59</f>
        <v>494400</v>
      </c>
      <c r="O28" s="61">
        <f>+'IMPUNIDAD (desglose)'!P59</f>
        <v>0</v>
      </c>
      <c r="P28" s="61">
        <f>+'IMPUNIDAD (desglose)'!Q59</f>
        <v>0</v>
      </c>
      <c r="Q28" s="61">
        <f>+'IMPUNIDAD (desglose)'!R59</f>
        <v>0</v>
      </c>
      <c r="R28" s="619">
        <f>SUM(G28:Q28)</f>
        <v>994400</v>
      </c>
      <c r="S28" s="61">
        <f>+'IMPUNIDAD (desglose)'!T59</f>
        <v>0</v>
      </c>
      <c r="T28" s="61">
        <f>+'IMPUNIDAD (desglose)'!U59</f>
        <v>0</v>
      </c>
      <c r="U28" s="61">
        <f>+'IMPUNIDAD (desglose)'!V59</f>
        <v>488800</v>
      </c>
      <c r="V28" s="61">
        <f>+'IMPUNIDAD (desglose)'!W59</f>
        <v>0</v>
      </c>
      <c r="W28" s="61">
        <f>+'IMPUNIDAD (desglose)'!X59</f>
        <v>0</v>
      </c>
      <c r="X28" s="61">
        <f>+'IMPUNIDAD (desglose)'!Y59</f>
        <v>0</v>
      </c>
      <c r="Y28" s="61">
        <f>+'IMPUNIDAD (desglose)'!Z59</f>
        <v>0</v>
      </c>
      <c r="Z28" s="61">
        <f>+'IMPUNIDAD (desglose)'!AA59</f>
        <v>0</v>
      </c>
      <c r="AA28" s="61">
        <f>+'IMPUNIDAD (desglose)'!AB59</f>
        <v>0</v>
      </c>
      <c r="AB28" s="61">
        <f>+'IMPUNIDAD (desglose)'!AC59</f>
        <v>0</v>
      </c>
      <c r="AC28" s="61">
        <f>+'IMPUNIDAD (desglose)'!AD59</f>
        <v>0</v>
      </c>
      <c r="AD28" s="619">
        <f>SUM(S28:AC28)</f>
        <v>488800</v>
      </c>
      <c r="AE28" s="311"/>
    </row>
    <row r="29" spans="1:31" ht="46.5" customHeight="1" x14ac:dyDescent="0.3">
      <c r="A29" s="1075" t="s">
        <v>731</v>
      </c>
      <c r="B29" s="266"/>
      <c r="C29" s="301"/>
      <c r="D29" s="267">
        <f>SUM(D30:D32)</f>
        <v>1625509.65</v>
      </c>
      <c r="E29" s="267">
        <f>SUM(E30:E32)</f>
        <v>2468220</v>
      </c>
      <c r="F29" s="267">
        <f t="shared" ref="F29:AD29" si="7">+F30+F31+F32</f>
        <v>4093729.65</v>
      </c>
      <c r="G29" s="267">
        <f t="shared" si="7"/>
        <v>0</v>
      </c>
      <c r="H29" s="267">
        <f t="shared" si="7"/>
        <v>0</v>
      </c>
      <c r="I29" s="267">
        <f t="shared" si="7"/>
        <v>0</v>
      </c>
      <c r="J29" s="267">
        <f t="shared" si="7"/>
        <v>137000</v>
      </c>
      <c r="K29" s="267">
        <f t="shared" si="7"/>
        <v>22000</v>
      </c>
      <c r="L29" s="267">
        <f t="shared" si="7"/>
        <v>22000</v>
      </c>
      <c r="M29" s="267">
        <f t="shared" si="7"/>
        <v>172000</v>
      </c>
      <c r="N29" s="267">
        <f t="shared" si="7"/>
        <v>451000</v>
      </c>
      <c r="O29" s="267">
        <f t="shared" si="7"/>
        <v>177000</v>
      </c>
      <c r="P29" s="267">
        <f t="shared" si="7"/>
        <v>122000</v>
      </c>
      <c r="Q29" s="267">
        <f t="shared" si="7"/>
        <v>47000</v>
      </c>
      <c r="R29" s="267">
        <f t="shared" si="7"/>
        <v>1150000</v>
      </c>
      <c r="S29" s="267">
        <f t="shared" si="7"/>
        <v>22000</v>
      </c>
      <c r="T29" s="267">
        <f t="shared" si="7"/>
        <v>22000</v>
      </c>
      <c r="U29" s="267">
        <f t="shared" si="7"/>
        <v>93000</v>
      </c>
      <c r="V29" s="267">
        <f t="shared" si="7"/>
        <v>1812220</v>
      </c>
      <c r="W29" s="267">
        <f t="shared" si="7"/>
        <v>502000</v>
      </c>
      <c r="X29" s="267">
        <f t="shared" si="7"/>
        <v>143000</v>
      </c>
      <c r="Y29" s="267">
        <f t="shared" si="7"/>
        <v>93000</v>
      </c>
      <c r="Z29" s="267">
        <f t="shared" si="7"/>
        <v>120509.65</v>
      </c>
      <c r="AA29" s="267">
        <f t="shared" si="7"/>
        <v>67000</v>
      </c>
      <c r="AB29" s="267">
        <f t="shared" si="7"/>
        <v>47000</v>
      </c>
      <c r="AC29" s="267">
        <f t="shared" si="7"/>
        <v>22000</v>
      </c>
      <c r="AD29" s="267">
        <f t="shared" si="7"/>
        <v>2943729.65</v>
      </c>
      <c r="AE29" s="266"/>
    </row>
    <row r="30" spans="1:31" s="333" customFormat="1" ht="115.2" x14ac:dyDescent="0.3">
      <c r="A30" s="1076"/>
      <c r="B30" s="316" t="s">
        <v>2</v>
      </c>
      <c r="C30" s="245" t="s">
        <v>735</v>
      </c>
      <c r="D30" s="80">
        <f>+R30+AD30</f>
        <v>1225509.6499999999</v>
      </c>
      <c r="E30" s="80">
        <v>0</v>
      </c>
      <c r="F30" s="236">
        <f>+D30+E30</f>
        <v>1225509.6499999999</v>
      </c>
      <c r="G30" s="61">
        <f>+'IMPUNIDAD (desglose)'!H61</f>
        <v>0</v>
      </c>
      <c r="H30" s="61">
        <f>+'IMPUNIDAD (desglose)'!I61</f>
        <v>0</v>
      </c>
      <c r="I30" s="61">
        <f>+'IMPUNIDAD (desglose)'!J61</f>
        <v>0</v>
      </c>
      <c r="J30" s="61">
        <f>+'IMPUNIDAD (desglose)'!K61</f>
        <v>11000</v>
      </c>
      <c r="K30" s="61">
        <f>+'IMPUNIDAD (desglose)'!L61</f>
        <v>22000</v>
      </c>
      <c r="L30" s="61">
        <f>+'IMPUNIDAD (desglose)'!M61</f>
        <v>22000</v>
      </c>
      <c r="M30" s="61">
        <f>+'IMPUNIDAD (desglose)'!N61</f>
        <v>132000</v>
      </c>
      <c r="N30" s="61">
        <f>+'IMPUNIDAD (desglose)'!O61</f>
        <v>92000</v>
      </c>
      <c r="O30" s="61">
        <f>+'IMPUNIDAD (desglose)'!P61</f>
        <v>152000</v>
      </c>
      <c r="P30" s="61">
        <f>+'IMPUNIDAD (desglose)'!Q61</f>
        <v>97000</v>
      </c>
      <c r="Q30" s="61">
        <f>+'IMPUNIDAD (desglose)'!R61</f>
        <v>22000</v>
      </c>
      <c r="R30" s="83">
        <f>SUM(G30:Q30)</f>
        <v>550000</v>
      </c>
      <c r="S30" s="61">
        <f>+'IMPUNIDAD (desglose)'!T61</f>
        <v>22000</v>
      </c>
      <c r="T30" s="61">
        <f>+'IMPUNIDAD (desglose)'!U61</f>
        <v>22000</v>
      </c>
      <c r="U30" s="61">
        <f>+'IMPUNIDAD (desglose)'!V61</f>
        <v>68000</v>
      </c>
      <c r="V30" s="61">
        <f>+'IMPUNIDAD (desglose)'!W61</f>
        <v>128000</v>
      </c>
      <c r="W30" s="61">
        <f>+'IMPUNIDAD (desglose)'!X61</f>
        <v>68000</v>
      </c>
      <c r="X30" s="61">
        <f>+'IMPUNIDAD (desglose)'!Y61</f>
        <v>118000</v>
      </c>
      <c r="Y30" s="61">
        <f>+'IMPUNIDAD (desglose)'!Z61</f>
        <v>68000</v>
      </c>
      <c r="Z30" s="61">
        <f>+'IMPUNIDAD (desglose)'!AA61</f>
        <v>95509.65</v>
      </c>
      <c r="AA30" s="61">
        <f>+'IMPUNIDAD (desglose)'!AB61</f>
        <v>42000</v>
      </c>
      <c r="AB30" s="61">
        <f>+'IMPUNIDAD (desglose)'!AC61</f>
        <v>22000</v>
      </c>
      <c r="AC30" s="61">
        <f>+'IMPUNIDAD (desglose)'!AD61</f>
        <v>22000</v>
      </c>
      <c r="AD30" s="83">
        <f>SUM(S30:AC30)</f>
        <v>675509.65</v>
      </c>
      <c r="AE30" s="311"/>
    </row>
    <row r="31" spans="1:31" s="334" customFormat="1" ht="84.75" customHeight="1" x14ac:dyDescent="0.3">
      <c r="A31" s="1076"/>
      <c r="B31" s="316" t="s">
        <v>3</v>
      </c>
      <c r="C31" s="232" t="s">
        <v>557</v>
      </c>
      <c r="D31" s="80"/>
      <c r="E31" s="80">
        <f>+R31+AD31</f>
        <v>2468220</v>
      </c>
      <c r="F31" s="236">
        <f>+D31+E31</f>
        <v>2468220</v>
      </c>
      <c r="G31" s="61">
        <f>+'IMPUNIDAD (desglose)'!H66</f>
        <v>0</v>
      </c>
      <c r="H31" s="61">
        <f>+'IMPUNIDAD (desglose)'!I66</f>
        <v>0</v>
      </c>
      <c r="I31" s="61">
        <f>+'IMPUNIDAD (desglose)'!J66</f>
        <v>0</v>
      </c>
      <c r="J31" s="61">
        <f>+'IMPUNIDAD (desglose)'!K66</f>
        <v>66000</v>
      </c>
      <c r="K31" s="61">
        <f>+'IMPUNIDAD (desglose)'!L66</f>
        <v>0</v>
      </c>
      <c r="L31" s="61">
        <f>+'IMPUNIDAD (desglose)'!M66</f>
        <v>0</v>
      </c>
      <c r="M31" s="61">
        <f>+'IMPUNIDAD (desglose)'!N66</f>
        <v>0</v>
      </c>
      <c r="N31" s="61">
        <f>+'IMPUNIDAD (desglose)'!O66</f>
        <v>334000</v>
      </c>
      <c r="O31" s="61">
        <f>+'IMPUNIDAD (desglose)'!P66</f>
        <v>0</v>
      </c>
      <c r="P31" s="61">
        <f>+'IMPUNIDAD (desglose)'!Q66</f>
        <v>0</v>
      </c>
      <c r="Q31" s="61">
        <f>+'IMPUNIDAD (desglose)'!R66</f>
        <v>0</v>
      </c>
      <c r="R31" s="619">
        <f>SUM(G31:Q31)</f>
        <v>400000</v>
      </c>
      <c r="S31" s="61">
        <f>+'IMPUNIDAD (desglose)'!T66</f>
        <v>0</v>
      </c>
      <c r="T31" s="61">
        <f>+'IMPUNIDAD (desglose)'!U66</f>
        <v>0</v>
      </c>
      <c r="U31" s="61">
        <f>+'IMPUNIDAD (desglose)'!V66</f>
        <v>0</v>
      </c>
      <c r="V31" s="61">
        <f>+'IMPUNIDAD (desglose)'!W66</f>
        <v>1659220</v>
      </c>
      <c r="W31" s="61">
        <f>+'IMPUNIDAD (desglose)'!X66</f>
        <v>409000</v>
      </c>
      <c r="X31" s="61">
        <f>+'IMPUNIDAD (desglose)'!Y66</f>
        <v>0</v>
      </c>
      <c r="Y31" s="61">
        <f>+'IMPUNIDAD (desglose)'!Z66</f>
        <v>0</v>
      </c>
      <c r="Z31" s="61">
        <f>+'IMPUNIDAD (desglose)'!AA66</f>
        <v>0</v>
      </c>
      <c r="AA31" s="61">
        <f>+'IMPUNIDAD (desglose)'!AB66</f>
        <v>0</v>
      </c>
      <c r="AB31" s="61">
        <f>+'IMPUNIDAD (desglose)'!AC66</f>
        <v>0</v>
      </c>
      <c r="AC31" s="61">
        <f>+'IMPUNIDAD (desglose)'!AD66</f>
        <v>0</v>
      </c>
      <c r="AD31" s="619">
        <f>SUM(S31:AC31)</f>
        <v>2068220</v>
      </c>
      <c r="AE31" s="311"/>
    </row>
    <row r="32" spans="1:31" s="334" customFormat="1" ht="77.400000000000006" customHeight="1" x14ac:dyDescent="0.3">
      <c r="A32" s="1077"/>
      <c r="B32" s="316" t="s">
        <v>4</v>
      </c>
      <c r="C32" s="232" t="s">
        <v>736</v>
      </c>
      <c r="D32" s="80">
        <f>+R32+AD32</f>
        <v>400000</v>
      </c>
      <c r="E32" s="80">
        <v>0</v>
      </c>
      <c r="F32" s="236">
        <f>+D32+E32</f>
        <v>400000</v>
      </c>
      <c r="G32" s="61">
        <f>+'IMPUNIDAD (desglose)'!H69</f>
        <v>0</v>
      </c>
      <c r="H32" s="61">
        <f>+'IMPUNIDAD (desglose)'!I69</f>
        <v>0</v>
      </c>
      <c r="I32" s="61">
        <f>+'IMPUNIDAD (desglose)'!J69</f>
        <v>0</v>
      </c>
      <c r="J32" s="61">
        <f>+'IMPUNIDAD (desglose)'!K69</f>
        <v>60000</v>
      </c>
      <c r="K32" s="61">
        <f>+'IMPUNIDAD (desglose)'!L69</f>
        <v>0</v>
      </c>
      <c r="L32" s="61">
        <f>+'IMPUNIDAD (desglose)'!M69</f>
        <v>0</v>
      </c>
      <c r="M32" s="61">
        <f>+'IMPUNIDAD (desglose)'!N69</f>
        <v>40000</v>
      </c>
      <c r="N32" s="61">
        <f>+'IMPUNIDAD (desglose)'!O69</f>
        <v>25000</v>
      </c>
      <c r="O32" s="61">
        <f>+'IMPUNIDAD (desglose)'!P69</f>
        <v>25000</v>
      </c>
      <c r="P32" s="61">
        <f>+'IMPUNIDAD (desglose)'!Q69</f>
        <v>25000</v>
      </c>
      <c r="Q32" s="61">
        <f>+'IMPUNIDAD (desglose)'!R69</f>
        <v>25000</v>
      </c>
      <c r="R32" s="83">
        <f>SUM(G32:Q32)</f>
        <v>200000</v>
      </c>
      <c r="S32" s="61">
        <f>+'IMPUNIDAD (desglose)'!T69</f>
        <v>0</v>
      </c>
      <c r="T32" s="61">
        <f>+'IMPUNIDAD (desglose)'!U69</f>
        <v>0</v>
      </c>
      <c r="U32" s="61">
        <f>+'IMPUNIDAD (desglose)'!V69</f>
        <v>25000</v>
      </c>
      <c r="V32" s="61">
        <f>+'IMPUNIDAD (desglose)'!W69</f>
        <v>25000</v>
      </c>
      <c r="W32" s="61">
        <f>+'IMPUNIDAD (desglose)'!X69</f>
        <v>25000</v>
      </c>
      <c r="X32" s="61">
        <f>+'IMPUNIDAD (desglose)'!Y69</f>
        <v>25000</v>
      </c>
      <c r="Y32" s="61">
        <f>+'IMPUNIDAD (desglose)'!Z69</f>
        <v>25000</v>
      </c>
      <c r="Z32" s="61">
        <f>+'IMPUNIDAD (desglose)'!AA69</f>
        <v>25000</v>
      </c>
      <c r="AA32" s="61">
        <f>+'IMPUNIDAD (desglose)'!AB69</f>
        <v>25000</v>
      </c>
      <c r="AB32" s="61">
        <f>+'IMPUNIDAD (desglose)'!AC69</f>
        <v>25000</v>
      </c>
      <c r="AC32" s="61">
        <f>+'IMPUNIDAD (desglose)'!AD69</f>
        <v>0</v>
      </c>
      <c r="AD32" s="83">
        <f>SUM(S32:AC32)</f>
        <v>200000</v>
      </c>
      <c r="AE32" s="311"/>
    </row>
    <row r="33" spans="1:31" ht="42.75" customHeight="1" x14ac:dyDescent="0.3">
      <c r="A33" s="1075" t="s">
        <v>322</v>
      </c>
      <c r="B33" s="266"/>
      <c r="C33" s="301"/>
      <c r="D33" s="267">
        <f>SUM(D34:D35)</f>
        <v>400000</v>
      </c>
      <c r="E33" s="267">
        <f>SUM(E34:E35)</f>
        <v>0</v>
      </c>
      <c r="F33" s="267">
        <f t="shared" ref="F33:M33" si="8">SUM(F34:F35)</f>
        <v>400000</v>
      </c>
      <c r="G33" s="267">
        <f t="shared" si="8"/>
        <v>0</v>
      </c>
      <c r="H33" s="267">
        <f t="shared" si="8"/>
        <v>0</v>
      </c>
      <c r="I33" s="267">
        <f t="shared" si="8"/>
        <v>0</v>
      </c>
      <c r="J33" s="267">
        <f t="shared" si="8"/>
        <v>0</v>
      </c>
      <c r="K33" s="267">
        <f t="shared" si="8"/>
        <v>0</v>
      </c>
      <c r="L33" s="267">
        <f t="shared" si="8"/>
        <v>0</v>
      </c>
      <c r="M33" s="267">
        <f t="shared" si="8"/>
        <v>0</v>
      </c>
      <c r="N33" s="267">
        <f t="shared" ref="N33:AD33" si="9">SUM(N34:N35)</f>
        <v>0</v>
      </c>
      <c r="O33" s="267">
        <f t="shared" si="9"/>
        <v>1353.5</v>
      </c>
      <c r="P33" s="267">
        <f t="shared" si="9"/>
        <v>28000</v>
      </c>
      <c r="Q33" s="267">
        <f t="shared" si="9"/>
        <v>25000</v>
      </c>
      <c r="R33" s="267">
        <f t="shared" si="9"/>
        <v>54353.5</v>
      </c>
      <c r="S33" s="267">
        <f t="shared" si="9"/>
        <v>0</v>
      </c>
      <c r="T33" s="267">
        <f t="shared" si="9"/>
        <v>42000</v>
      </c>
      <c r="U33" s="267">
        <f t="shared" si="9"/>
        <v>42000</v>
      </c>
      <c r="V33" s="267">
        <f t="shared" si="9"/>
        <v>42000</v>
      </c>
      <c r="W33" s="267">
        <f t="shared" si="9"/>
        <v>42000</v>
      </c>
      <c r="X33" s="267">
        <f t="shared" si="9"/>
        <v>42000</v>
      </c>
      <c r="Y33" s="267">
        <f t="shared" si="9"/>
        <v>27000</v>
      </c>
      <c r="Z33" s="267">
        <f t="shared" si="9"/>
        <v>27000</v>
      </c>
      <c r="AA33" s="267">
        <f t="shared" si="9"/>
        <v>27646.5</v>
      </c>
      <c r="AB33" s="267">
        <f t="shared" si="9"/>
        <v>29000</v>
      </c>
      <c r="AC33" s="267">
        <f t="shared" si="9"/>
        <v>25000</v>
      </c>
      <c r="AD33" s="267">
        <f t="shared" si="9"/>
        <v>345646.5</v>
      </c>
      <c r="AE33" s="266"/>
    </row>
    <row r="34" spans="1:31" s="333" customFormat="1" ht="58.95" customHeight="1" x14ac:dyDescent="0.3">
      <c r="A34" s="1076"/>
      <c r="B34" s="311" t="s">
        <v>2</v>
      </c>
      <c r="C34" s="274" t="s">
        <v>323</v>
      </c>
      <c r="D34" s="80">
        <f>+R34+AD34</f>
        <v>25000</v>
      </c>
      <c r="E34" s="80">
        <v>0</v>
      </c>
      <c r="F34" s="236">
        <f>+D34+E34</f>
        <v>25000</v>
      </c>
      <c r="G34" s="61">
        <f>+'IMPUNIDAD (desglose)'!H72</f>
        <v>0</v>
      </c>
      <c r="H34" s="61">
        <f>+'IMPUNIDAD (desglose)'!I72</f>
        <v>0</v>
      </c>
      <c r="I34" s="61">
        <f>+'IMPUNIDAD (desglose)'!J72</f>
        <v>0</v>
      </c>
      <c r="J34" s="61">
        <f>+'IMPUNIDAD (desglose)'!K72</f>
        <v>0</v>
      </c>
      <c r="K34" s="61">
        <f>+'IMPUNIDAD (desglose)'!L72</f>
        <v>0</v>
      </c>
      <c r="L34" s="61">
        <f>+'IMPUNIDAD (desglose)'!M72</f>
        <v>0</v>
      </c>
      <c r="M34" s="61">
        <f>+'IMPUNIDAD (desglose)'!N72</f>
        <v>0</v>
      </c>
      <c r="N34" s="61">
        <f>+'IMPUNIDAD (desglose)'!O72</f>
        <v>0</v>
      </c>
      <c r="O34" s="61">
        <f>+'IMPUNIDAD (desglose)'!P72</f>
        <v>1353.5</v>
      </c>
      <c r="P34" s="61">
        <f>+'IMPUNIDAD (desglose)'!Q72</f>
        <v>3000</v>
      </c>
      <c r="Q34" s="61">
        <f>+'IMPUNIDAD (desglose)'!R72</f>
        <v>0</v>
      </c>
      <c r="R34" s="83">
        <f>SUM(G34:Q34)</f>
        <v>4353.5</v>
      </c>
      <c r="S34" s="61">
        <f>+'IMPUNIDAD (desglose)'!T72</f>
        <v>0</v>
      </c>
      <c r="T34" s="61">
        <f>+'IMPUNIDAD (desglose)'!U72</f>
        <v>2000</v>
      </c>
      <c r="U34" s="61">
        <f>+'IMPUNIDAD (desglose)'!V72</f>
        <v>2000</v>
      </c>
      <c r="V34" s="61">
        <f>+'IMPUNIDAD (desglose)'!W72</f>
        <v>2000</v>
      </c>
      <c r="W34" s="61">
        <f>+'IMPUNIDAD (desglose)'!X72</f>
        <v>2000</v>
      </c>
      <c r="X34" s="61">
        <f>+'IMPUNIDAD (desglose)'!Y72</f>
        <v>2000</v>
      </c>
      <c r="Y34" s="61">
        <f>+'IMPUNIDAD (desglose)'!Z72</f>
        <v>2000</v>
      </c>
      <c r="Z34" s="61">
        <f>+'IMPUNIDAD (desglose)'!AA72</f>
        <v>2000</v>
      </c>
      <c r="AA34" s="61">
        <f>+'IMPUNIDAD (desglose)'!AB72</f>
        <v>2646.5</v>
      </c>
      <c r="AB34" s="61">
        <f>+'IMPUNIDAD (desglose)'!AC72</f>
        <v>4000</v>
      </c>
      <c r="AC34" s="61">
        <f>+'IMPUNIDAD (desglose)'!AD72</f>
        <v>0</v>
      </c>
      <c r="AD34" s="83">
        <f>SUM(S34:AC34)</f>
        <v>20646.5</v>
      </c>
      <c r="AE34" s="311"/>
    </row>
    <row r="35" spans="1:31" s="334" customFormat="1" ht="90.6" customHeight="1" x14ac:dyDescent="0.3">
      <c r="A35" s="1077"/>
      <c r="B35" s="311" t="s">
        <v>3</v>
      </c>
      <c r="C35" s="274" t="s">
        <v>559</v>
      </c>
      <c r="D35" s="23">
        <f>+R35+AD35</f>
        <v>375000</v>
      </c>
      <c r="E35" s="23">
        <v>0</v>
      </c>
      <c r="F35" s="74">
        <f>+D35+E35</f>
        <v>375000</v>
      </c>
      <c r="G35" s="81">
        <f>+'IMPUNIDAD (desglose)'!H74</f>
        <v>0</v>
      </c>
      <c r="H35" s="81">
        <f>+'IMPUNIDAD (desglose)'!I74</f>
        <v>0</v>
      </c>
      <c r="I35" s="81">
        <f>+'IMPUNIDAD (desglose)'!J74</f>
        <v>0</v>
      </c>
      <c r="J35" s="81">
        <f>+'IMPUNIDAD (desglose)'!K74</f>
        <v>0</v>
      </c>
      <c r="K35" s="81">
        <f>+'IMPUNIDAD (desglose)'!L74</f>
        <v>0</v>
      </c>
      <c r="L35" s="81">
        <f>+'IMPUNIDAD (desglose)'!M74</f>
        <v>0</v>
      </c>
      <c r="M35" s="81">
        <f>+'IMPUNIDAD (desglose)'!N74</f>
        <v>0</v>
      </c>
      <c r="N35" s="81">
        <f>+'IMPUNIDAD (desglose)'!O74</f>
        <v>0</v>
      </c>
      <c r="O35" s="81">
        <f>+'IMPUNIDAD (desglose)'!P74</f>
        <v>0</v>
      </c>
      <c r="P35" s="81">
        <f>+'IMPUNIDAD (desglose)'!Q74</f>
        <v>25000</v>
      </c>
      <c r="Q35" s="81">
        <f>+'IMPUNIDAD (desglose)'!R74</f>
        <v>25000</v>
      </c>
      <c r="R35" s="82">
        <f>SUM(G35:Q35)</f>
        <v>50000</v>
      </c>
      <c r="S35" s="81">
        <f>+'IMPUNIDAD (desglose)'!T74</f>
        <v>0</v>
      </c>
      <c r="T35" s="81">
        <f>+'IMPUNIDAD (desglose)'!U74</f>
        <v>40000</v>
      </c>
      <c r="U35" s="81">
        <f>+'IMPUNIDAD (desglose)'!V74</f>
        <v>40000</v>
      </c>
      <c r="V35" s="81">
        <f>+'IMPUNIDAD (desglose)'!W74</f>
        <v>40000</v>
      </c>
      <c r="W35" s="81">
        <f>+'IMPUNIDAD (desglose)'!X74</f>
        <v>40000</v>
      </c>
      <c r="X35" s="81">
        <f>+'IMPUNIDAD (desglose)'!Y74</f>
        <v>40000</v>
      </c>
      <c r="Y35" s="81">
        <f>+'IMPUNIDAD (desglose)'!Z74</f>
        <v>25000</v>
      </c>
      <c r="Z35" s="81">
        <f>+'IMPUNIDAD (desglose)'!AA74</f>
        <v>25000</v>
      </c>
      <c r="AA35" s="81">
        <f>+'IMPUNIDAD (desglose)'!AB74</f>
        <v>25000</v>
      </c>
      <c r="AB35" s="81">
        <f>+'IMPUNIDAD (desglose)'!AC74</f>
        <v>25000</v>
      </c>
      <c r="AC35" s="81">
        <f>+'IMPUNIDAD (desglose)'!AD74</f>
        <v>25000</v>
      </c>
      <c r="AD35" s="82">
        <f>SUM(S35:AC35)</f>
        <v>325000</v>
      </c>
      <c r="AE35" s="24" t="s">
        <v>328</v>
      </c>
    </row>
    <row r="37" spans="1:31" ht="15" x14ac:dyDescent="0.25">
      <c r="B37" s="31"/>
    </row>
    <row r="38" spans="1:31" ht="15" x14ac:dyDescent="0.25">
      <c r="B38" s="31"/>
    </row>
    <row r="39" spans="1:31" ht="15" x14ac:dyDescent="0.25">
      <c r="B39" s="31"/>
    </row>
    <row r="41" spans="1:31" ht="15" x14ac:dyDescent="0.25">
      <c r="B41" s="31"/>
    </row>
    <row r="42" spans="1:31" ht="15" x14ac:dyDescent="0.25">
      <c r="B42" s="31"/>
    </row>
  </sheetData>
  <mergeCells count="15">
    <mergeCell ref="A10:A15"/>
    <mergeCell ref="A17:A21"/>
    <mergeCell ref="A29:A32"/>
    <mergeCell ref="A33:A35"/>
    <mergeCell ref="A26:A28"/>
    <mergeCell ref="A24:A25"/>
    <mergeCell ref="AD5:AD6"/>
    <mergeCell ref="AE5:AE6"/>
    <mergeCell ref="A7:C7"/>
    <mergeCell ref="G5:Q5"/>
    <mergeCell ref="R5:R6"/>
    <mergeCell ref="S5:AC5"/>
    <mergeCell ref="D5:D6"/>
    <mergeCell ref="E5:E6"/>
    <mergeCell ref="F5:F6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5" tint="-0.249977111117893"/>
  </sheetPr>
  <dimension ref="A1:AH82"/>
  <sheetViews>
    <sheetView zoomScale="60" zoomScaleNormal="60" workbookViewId="0">
      <pane xSplit="7" ySplit="6" topLeftCell="Q39" activePane="bottomRight" state="frozen"/>
      <selection pane="topRight" activeCell="H1" sqref="H1"/>
      <selection pane="bottomLeft" activeCell="A7" sqref="A7"/>
      <selection pane="bottomRight" activeCell="B43" sqref="B43:B45"/>
    </sheetView>
  </sheetViews>
  <sheetFormatPr baseColWidth="10" defaultRowHeight="14.4" x14ac:dyDescent="0.3"/>
  <cols>
    <col min="1" max="1" width="18.109375" customWidth="1"/>
    <col min="2" max="2" width="5.5546875" customWidth="1"/>
    <col min="3" max="3" width="29.44140625" style="109" customWidth="1"/>
    <col min="4" max="4" width="40.5546875" style="294" customWidth="1"/>
    <col min="5" max="5" width="26.33203125" bestFit="1" customWidth="1"/>
    <col min="6" max="6" width="31.109375" bestFit="1" customWidth="1"/>
    <col min="7" max="7" width="26.109375" bestFit="1" customWidth="1"/>
    <col min="8" max="8" width="20.88671875" bestFit="1" customWidth="1"/>
    <col min="9" max="9" width="23" bestFit="1" customWidth="1"/>
    <col min="10" max="13" width="22.5546875" bestFit="1" customWidth="1"/>
    <col min="14" max="14" width="22" bestFit="1" customWidth="1"/>
    <col min="15" max="15" width="23.6640625" bestFit="1" customWidth="1"/>
    <col min="16" max="16" width="22.5546875" bestFit="1" customWidth="1"/>
    <col min="17" max="17" width="22" bestFit="1" customWidth="1"/>
    <col min="18" max="18" width="21.5546875" bestFit="1" customWidth="1"/>
    <col min="19" max="19" width="24.6640625" bestFit="1" customWidth="1"/>
    <col min="20" max="20" width="21.5546875" bestFit="1" customWidth="1"/>
    <col min="21" max="21" width="22" bestFit="1" customWidth="1"/>
    <col min="22" max="23" width="25.109375" bestFit="1" customWidth="1"/>
    <col min="24" max="27" width="22.5546875" bestFit="1" customWidth="1"/>
    <col min="28" max="29" width="22" bestFit="1" customWidth="1"/>
    <col min="30" max="30" width="21.5546875" bestFit="1" customWidth="1"/>
    <col min="31" max="31" width="24.6640625" bestFit="1" customWidth="1"/>
    <col min="32" max="32" width="33" customWidth="1"/>
  </cols>
  <sheetData>
    <row r="1" spans="1:34" s="4" customFormat="1" ht="21.75" customHeight="1" x14ac:dyDescent="0.3">
      <c r="A1" s="48" t="s">
        <v>46</v>
      </c>
      <c r="B1" s="34"/>
      <c r="C1" s="101"/>
      <c r="D1" s="101"/>
      <c r="E1" s="33"/>
      <c r="F1" s="32"/>
      <c r="G1" s="32"/>
      <c r="H1" s="11"/>
      <c r="I1" s="12"/>
      <c r="J1" s="13"/>
      <c r="K1" s="9"/>
      <c r="L1" s="9"/>
      <c r="M1" s="9"/>
      <c r="N1" s="9"/>
      <c r="O1" s="9"/>
      <c r="P1" s="9"/>
      <c r="Q1" s="9"/>
      <c r="R1" s="9"/>
      <c r="S1" s="55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55"/>
      <c r="AF1" s="9"/>
      <c r="AG1" s="313"/>
      <c r="AH1" s="314"/>
    </row>
    <row r="2" spans="1:34" s="4" customFormat="1" ht="15.75" customHeight="1" x14ac:dyDescent="0.25">
      <c r="A2" s="48" t="s">
        <v>47</v>
      </c>
      <c r="B2" s="34"/>
      <c r="C2" s="101"/>
      <c r="D2" s="101"/>
      <c r="E2" s="33"/>
      <c r="F2" s="32"/>
      <c r="G2" s="32"/>
      <c r="H2" s="14"/>
      <c r="I2" s="612"/>
      <c r="J2" s="16"/>
      <c r="K2" s="9"/>
      <c r="L2" s="9"/>
      <c r="M2" s="9"/>
      <c r="N2" s="9"/>
      <c r="O2" s="9"/>
      <c r="P2" s="9"/>
      <c r="Q2" s="9"/>
      <c r="R2" s="9"/>
      <c r="S2" s="55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55"/>
      <c r="AF2" s="17"/>
      <c r="AG2" s="313"/>
      <c r="AH2" s="314"/>
    </row>
    <row r="3" spans="1:34" s="4" customFormat="1" ht="20.25" customHeight="1" x14ac:dyDescent="0.25">
      <c r="A3" s="48"/>
      <c r="B3" s="34"/>
      <c r="C3" s="101"/>
      <c r="D3" s="310"/>
      <c r="E3" s="33"/>
      <c r="F3" s="309"/>
      <c r="G3" s="289">
        <v>13582620</v>
      </c>
      <c r="H3" s="710">
        <v>550000</v>
      </c>
      <c r="I3" s="711">
        <f>+G3+H3</f>
        <v>14132620</v>
      </c>
      <c r="J3" s="16"/>
      <c r="K3" s="9"/>
      <c r="L3" s="9"/>
      <c r="M3" s="9"/>
      <c r="N3" s="9"/>
      <c r="O3" s="9"/>
      <c r="P3" s="9"/>
      <c r="Q3" s="9"/>
      <c r="R3" s="9"/>
      <c r="S3" s="55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55"/>
      <c r="AF3" s="17"/>
      <c r="AG3" s="313"/>
      <c r="AH3" s="314"/>
    </row>
    <row r="4" spans="1:34" s="4" customFormat="1" ht="6" customHeight="1" x14ac:dyDescent="0.25">
      <c r="A4" s="48"/>
      <c r="B4" s="34"/>
      <c r="C4" s="101"/>
      <c r="D4" s="101"/>
      <c r="E4" s="33"/>
      <c r="F4" s="32"/>
      <c r="G4" s="32"/>
      <c r="H4" s="14"/>
      <c r="I4" s="15"/>
      <c r="J4" s="16"/>
      <c r="K4" s="9"/>
      <c r="L4" s="9"/>
      <c r="M4" s="9"/>
      <c r="N4" s="9"/>
      <c r="O4" s="9"/>
      <c r="P4" s="9"/>
      <c r="Q4" s="9"/>
      <c r="R4" s="9"/>
      <c r="S4" s="55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55"/>
      <c r="AF4" s="9"/>
      <c r="AG4" s="313"/>
      <c r="AH4" s="314"/>
    </row>
    <row r="5" spans="1:34" ht="21" x14ac:dyDescent="0.3">
      <c r="A5" s="49" t="s">
        <v>48</v>
      </c>
      <c r="B5" s="37"/>
      <c r="C5" s="300"/>
      <c r="D5" s="290"/>
      <c r="E5" s="1106" t="s">
        <v>43</v>
      </c>
      <c r="F5" s="1106" t="s">
        <v>44</v>
      </c>
      <c r="G5" s="1188" t="s">
        <v>85</v>
      </c>
      <c r="H5" s="1123"/>
      <c r="I5" s="1123"/>
      <c r="J5" s="1123"/>
      <c r="K5" s="1123"/>
      <c r="L5" s="1123"/>
      <c r="M5" s="1123"/>
      <c r="N5" s="1123"/>
      <c r="O5" s="1123"/>
      <c r="P5" s="1123"/>
      <c r="Q5" s="1123"/>
      <c r="R5" s="1123"/>
      <c r="S5" s="1101" t="s">
        <v>41</v>
      </c>
      <c r="T5" s="1173">
        <v>2022</v>
      </c>
      <c r="U5" s="1111"/>
      <c r="V5" s="1111"/>
      <c r="W5" s="1111"/>
      <c r="X5" s="1111"/>
      <c r="Y5" s="1111"/>
      <c r="Z5" s="1111"/>
      <c r="AA5" s="1111"/>
      <c r="AB5" s="1111"/>
      <c r="AC5" s="1111"/>
      <c r="AD5" s="1111"/>
      <c r="AE5" s="1101" t="s">
        <v>42</v>
      </c>
      <c r="AF5" s="1160" t="s">
        <v>45</v>
      </c>
      <c r="AG5" s="315"/>
      <c r="AH5" s="315"/>
    </row>
    <row r="6" spans="1:34" ht="39.75" customHeight="1" x14ac:dyDescent="0.3">
      <c r="A6" s="85" t="s">
        <v>49</v>
      </c>
      <c r="B6" s="86" t="s">
        <v>50</v>
      </c>
      <c r="C6" s="269" t="s">
        <v>51</v>
      </c>
      <c r="D6" s="269" t="s">
        <v>115</v>
      </c>
      <c r="E6" s="1106"/>
      <c r="F6" s="1106"/>
      <c r="G6" s="1221"/>
      <c r="H6" s="18">
        <v>44228</v>
      </c>
      <c r="I6" s="18">
        <v>44256</v>
      </c>
      <c r="J6" s="18">
        <v>44287</v>
      </c>
      <c r="K6" s="18">
        <v>44317</v>
      </c>
      <c r="L6" s="18">
        <v>44348</v>
      </c>
      <c r="M6" s="18">
        <v>44378</v>
      </c>
      <c r="N6" s="18">
        <v>44409</v>
      </c>
      <c r="O6" s="18">
        <v>44440</v>
      </c>
      <c r="P6" s="18">
        <v>44470</v>
      </c>
      <c r="Q6" s="18">
        <v>44501</v>
      </c>
      <c r="R6" s="18">
        <v>44531</v>
      </c>
      <c r="S6" s="1101"/>
      <c r="T6" s="18">
        <v>44562</v>
      </c>
      <c r="U6" s="18">
        <v>44593</v>
      </c>
      <c r="V6" s="18">
        <v>44621</v>
      </c>
      <c r="W6" s="18">
        <v>44652</v>
      </c>
      <c r="X6" s="18">
        <v>44682</v>
      </c>
      <c r="Y6" s="18">
        <v>44713</v>
      </c>
      <c r="Z6" s="18">
        <v>44743</v>
      </c>
      <c r="AA6" s="18">
        <v>44774</v>
      </c>
      <c r="AB6" s="18">
        <v>44805</v>
      </c>
      <c r="AC6" s="18">
        <v>44835</v>
      </c>
      <c r="AD6" s="18">
        <v>44866</v>
      </c>
      <c r="AE6" s="1101"/>
      <c r="AF6" s="1160"/>
    </row>
    <row r="7" spans="1:34" s="89" customFormat="1" ht="51.75" customHeight="1" x14ac:dyDescent="0.3">
      <c r="A7" s="1078" t="s">
        <v>101</v>
      </c>
      <c r="B7" s="1079"/>
      <c r="C7" s="1079"/>
      <c r="D7" s="1079"/>
      <c r="E7" s="297">
        <f t="shared" ref="E7:AE7" si="0">+E10+E30+E55+E52+E60+E71</f>
        <v>6154700</v>
      </c>
      <c r="F7" s="297">
        <f t="shared" si="0"/>
        <v>8619953.8200000003</v>
      </c>
      <c r="G7" s="297">
        <f t="shared" si="0"/>
        <v>14774653.82</v>
      </c>
      <c r="H7" s="297">
        <f t="shared" si="0"/>
        <v>22000</v>
      </c>
      <c r="I7" s="297">
        <f t="shared" si="0"/>
        <v>22000</v>
      </c>
      <c r="J7" s="297">
        <f t="shared" si="0"/>
        <v>22000</v>
      </c>
      <c r="K7" s="297">
        <f t="shared" si="0"/>
        <v>1278000</v>
      </c>
      <c r="L7" s="297">
        <f t="shared" si="0"/>
        <v>194000</v>
      </c>
      <c r="M7" s="297">
        <f t="shared" si="0"/>
        <v>69000</v>
      </c>
      <c r="N7" s="297">
        <f t="shared" si="0"/>
        <v>414490.35</v>
      </c>
      <c r="O7" s="297">
        <f t="shared" si="0"/>
        <v>1454400</v>
      </c>
      <c r="P7" s="297">
        <f t="shared" si="0"/>
        <v>688103.5</v>
      </c>
      <c r="Q7" s="297">
        <f t="shared" si="0"/>
        <v>517500</v>
      </c>
      <c r="R7" s="297">
        <f t="shared" si="0"/>
        <v>286000</v>
      </c>
      <c r="S7" s="297">
        <f t="shared" si="0"/>
        <v>4967493.8499999996</v>
      </c>
      <c r="T7" s="297">
        <f t="shared" si="0"/>
        <v>135000</v>
      </c>
      <c r="U7" s="297">
        <f t="shared" si="0"/>
        <v>1177533.8199999998</v>
      </c>
      <c r="V7" s="297">
        <f t="shared" si="0"/>
        <v>3007800</v>
      </c>
      <c r="W7" s="297">
        <f t="shared" si="0"/>
        <v>2798470</v>
      </c>
      <c r="X7" s="297">
        <f t="shared" si="0"/>
        <v>809500</v>
      </c>
      <c r="Y7" s="297">
        <f t="shared" si="0"/>
        <v>424000</v>
      </c>
      <c r="Z7" s="297">
        <f t="shared" si="0"/>
        <v>358000</v>
      </c>
      <c r="AA7" s="297">
        <f t="shared" si="0"/>
        <v>338509.65</v>
      </c>
      <c r="AB7" s="297">
        <f t="shared" si="0"/>
        <v>364346.5</v>
      </c>
      <c r="AC7" s="297">
        <f t="shared" si="0"/>
        <v>234000</v>
      </c>
      <c r="AD7" s="297">
        <f t="shared" si="0"/>
        <v>160000</v>
      </c>
      <c r="AE7" s="297">
        <f t="shared" si="0"/>
        <v>9807159.9700000007</v>
      </c>
      <c r="AF7" s="88"/>
    </row>
    <row r="8" spans="1:34" ht="34.5" customHeight="1" x14ac:dyDescent="0.3">
      <c r="A8" s="1102" t="s">
        <v>102</v>
      </c>
      <c r="B8" s="1103"/>
      <c r="C8" s="1103"/>
      <c r="D8" s="1103"/>
      <c r="E8" s="1103"/>
      <c r="F8" s="1103"/>
      <c r="G8" s="1104"/>
      <c r="H8" s="68"/>
      <c r="I8" s="68"/>
      <c r="J8" s="68"/>
      <c r="K8" s="68"/>
      <c r="L8" s="68"/>
      <c r="M8" s="68"/>
      <c r="N8" s="68"/>
      <c r="O8" s="68"/>
      <c r="P8" s="68"/>
      <c r="Q8" s="68"/>
      <c r="R8" s="68"/>
      <c r="S8" s="56"/>
      <c r="T8" s="68"/>
      <c r="U8" s="68"/>
      <c r="V8" s="68"/>
      <c r="W8" s="68"/>
      <c r="X8" s="68"/>
      <c r="Y8" s="68"/>
      <c r="Z8" s="68"/>
      <c r="AA8" s="68"/>
      <c r="AB8" s="68"/>
      <c r="AC8" s="68"/>
      <c r="AD8" s="68"/>
      <c r="AE8" s="56"/>
      <c r="AF8" s="19"/>
    </row>
    <row r="9" spans="1:34" ht="37.5" customHeight="1" x14ac:dyDescent="0.3">
      <c r="A9" s="1194" t="s">
        <v>103</v>
      </c>
      <c r="B9" s="1195"/>
      <c r="C9" s="1195"/>
      <c r="D9" s="1195"/>
      <c r="E9" s="1195"/>
      <c r="F9" s="1195"/>
      <c r="G9" s="1196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69"/>
      <c r="X9" s="69"/>
      <c r="Y9" s="69"/>
      <c r="Z9" s="69"/>
      <c r="AA9" s="69"/>
      <c r="AB9" s="69"/>
      <c r="AC9" s="69"/>
      <c r="AD9" s="69"/>
      <c r="AE9" s="69"/>
      <c r="AF9" s="20"/>
    </row>
    <row r="10" spans="1:34" ht="21" customHeight="1" x14ac:dyDescent="0.3">
      <c r="A10" s="1114" t="s">
        <v>104</v>
      </c>
      <c r="B10" s="266"/>
      <c r="C10" s="301"/>
      <c r="D10" s="291"/>
      <c r="E10" s="267">
        <f t="shared" ref="E10:AE10" si="1">+E11+E18+E21+E23+E26</f>
        <v>1841690.35</v>
      </c>
      <c r="F10" s="267">
        <f t="shared" si="1"/>
        <v>2355250</v>
      </c>
      <c r="G10" s="267">
        <f t="shared" si="1"/>
        <v>4196940.3499999996</v>
      </c>
      <c r="H10" s="267">
        <f t="shared" si="1"/>
        <v>22000</v>
      </c>
      <c r="I10" s="267">
        <f t="shared" si="1"/>
        <v>22000</v>
      </c>
      <c r="J10" s="267">
        <f t="shared" si="1"/>
        <v>22000</v>
      </c>
      <c r="K10" s="267">
        <f t="shared" si="1"/>
        <v>45000</v>
      </c>
      <c r="L10" s="267">
        <f t="shared" si="1"/>
        <v>25000</v>
      </c>
      <c r="M10" s="267">
        <f t="shared" si="1"/>
        <v>25000</v>
      </c>
      <c r="N10" s="267">
        <f t="shared" si="1"/>
        <v>94490.35</v>
      </c>
      <c r="O10" s="267">
        <f t="shared" si="1"/>
        <v>153000</v>
      </c>
      <c r="P10" s="267">
        <f t="shared" si="1"/>
        <v>334250</v>
      </c>
      <c r="Q10" s="267">
        <f t="shared" si="1"/>
        <v>154000</v>
      </c>
      <c r="R10" s="267">
        <f t="shared" si="1"/>
        <v>95000</v>
      </c>
      <c r="S10" s="267">
        <f t="shared" si="1"/>
        <v>991740.35</v>
      </c>
      <c r="T10" s="267">
        <f t="shared" si="1"/>
        <v>69000</v>
      </c>
      <c r="U10" s="267">
        <f t="shared" si="1"/>
        <v>95000</v>
      </c>
      <c r="V10" s="267">
        <f t="shared" si="1"/>
        <v>2220000</v>
      </c>
      <c r="W10" s="267">
        <f t="shared" si="1"/>
        <v>209000</v>
      </c>
      <c r="X10" s="267">
        <f t="shared" si="1"/>
        <v>125000</v>
      </c>
      <c r="Y10" s="267">
        <f t="shared" si="1"/>
        <v>100000</v>
      </c>
      <c r="Z10" s="267">
        <f t="shared" si="1"/>
        <v>99000</v>
      </c>
      <c r="AA10" s="267">
        <f t="shared" si="1"/>
        <v>70000</v>
      </c>
      <c r="AB10" s="267">
        <f t="shared" si="1"/>
        <v>115200</v>
      </c>
      <c r="AC10" s="267">
        <f t="shared" si="1"/>
        <v>59000</v>
      </c>
      <c r="AD10" s="267">
        <f t="shared" si="1"/>
        <v>44000</v>
      </c>
      <c r="AE10" s="267">
        <f t="shared" si="1"/>
        <v>3205200</v>
      </c>
      <c r="AF10" s="266"/>
    </row>
    <row r="11" spans="1:34" s="4" customFormat="1" x14ac:dyDescent="0.3">
      <c r="A11" s="1116"/>
      <c r="B11" s="1157" t="s">
        <v>2</v>
      </c>
      <c r="C11" s="1199" t="s">
        <v>285</v>
      </c>
      <c r="D11" s="426"/>
      <c r="E11" s="207">
        <f t="shared" ref="E11:AE11" si="2">SUM(E12:E17)</f>
        <v>1281690.3500000001</v>
      </c>
      <c r="F11" s="207">
        <f t="shared" si="2"/>
        <v>0</v>
      </c>
      <c r="G11" s="207">
        <f t="shared" si="2"/>
        <v>1281690.3500000001</v>
      </c>
      <c r="H11" s="207">
        <f t="shared" si="2"/>
        <v>22000</v>
      </c>
      <c r="I11" s="207">
        <f t="shared" si="2"/>
        <v>22000</v>
      </c>
      <c r="J11" s="207">
        <f t="shared" si="2"/>
        <v>22000</v>
      </c>
      <c r="K11" s="207">
        <f t="shared" si="2"/>
        <v>25000</v>
      </c>
      <c r="L11" s="207">
        <f t="shared" si="2"/>
        <v>25000</v>
      </c>
      <c r="M11" s="207">
        <f t="shared" si="2"/>
        <v>25000</v>
      </c>
      <c r="N11" s="207">
        <f t="shared" si="2"/>
        <v>49490.35</v>
      </c>
      <c r="O11" s="207">
        <f t="shared" si="2"/>
        <v>78000</v>
      </c>
      <c r="P11" s="207">
        <f t="shared" si="2"/>
        <v>104000</v>
      </c>
      <c r="Q11" s="207">
        <f t="shared" si="2"/>
        <v>119000</v>
      </c>
      <c r="R11" s="207">
        <f t="shared" si="2"/>
        <v>75000</v>
      </c>
      <c r="S11" s="207">
        <f t="shared" si="2"/>
        <v>566490.35</v>
      </c>
      <c r="T11" s="207">
        <f t="shared" si="2"/>
        <v>69000</v>
      </c>
      <c r="U11" s="207">
        <f t="shared" si="2"/>
        <v>75000</v>
      </c>
      <c r="V11" s="207">
        <f t="shared" si="2"/>
        <v>75000</v>
      </c>
      <c r="W11" s="207">
        <f t="shared" si="2"/>
        <v>89000</v>
      </c>
      <c r="X11" s="207">
        <f t="shared" si="2"/>
        <v>90000</v>
      </c>
      <c r="Y11" s="207">
        <f t="shared" si="2"/>
        <v>50000</v>
      </c>
      <c r="Z11" s="207">
        <f t="shared" si="2"/>
        <v>64000</v>
      </c>
      <c r="AA11" s="207">
        <f t="shared" si="2"/>
        <v>50000</v>
      </c>
      <c r="AB11" s="207">
        <f t="shared" si="2"/>
        <v>50200</v>
      </c>
      <c r="AC11" s="207">
        <f t="shared" si="2"/>
        <v>59000</v>
      </c>
      <c r="AD11" s="207">
        <f t="shared" si="2"/>
        <v>44000</v>
      </c>
      <c r="AE11" s="207">
        <f t="shared" si="2"/>
        <v>715200</v>
      </c>
      <c r="AF11" s="53"/>
    </row>
    <row r="12" spans="1:34" s="258" customFormat="1" ht="18.75" customHeight="1" x14ac:dyDescent="0.3">
      <c r="A12" s="1116"/>
      <c r="B12" s="1158"/>
      <c r="C12" s="1200"/>
      <c r="D12" s="567" t="s">
        <v>318</v>
      </c>
      <c r="E12" s="298">
        <f t="shared" ref="E12:E17" si="3">+S12+AE12</f>
        <v>250000</v>
      </c>
      <c r="F12" s="298">
        <v>0</v>
      </c>
      <c r="G12" s="82">
        <f t="shared" ref="G12:G17" si="4">+E12+F12</f>
        <v>250000</v>
      </c>
      <c r="H12" s="252"/>
      <c r="I12" s="252"/>
      <c r="J12" s="556"/>
      <c r="K12" s="556"/>
      <c r="L12" s="556"/>
      <c r="M12" s="556"/>
      <c r="N12" s="556">
        <v>25000</v>
      </c>
      <c r="O12" s="556">
        <v>25000</v>
      </c>
      <c r="P12" s="556">
        <v>25000</v>
      </c>
      <c r="Q12" s="556">
        <v>25000</v>
      </c>
      <c r="R12" s="556">
        <v>25000</v>
      </c>
      <c r="S12" s="82">
        <f t="shared" ref="S12:S17" si="5">SUM(H12:R12)</f>
        <v>125000</v>
      </c>
      <c r="T12" s="556">
        <v>25000</v>
      </c>
      <c r="U12" s="556">
        <v>25000</v>
      </c>
      <c r="V12" s="556">
        <v>25000</v>
      </c>
      <c r="W12" s="556">
        <v>25000</v>
      </c>
      <c r="X12" s="556">
        <v>25000</v>
      </c>
      <c r="Y12" s="252"/>
      <c r="Z12" s="252"/>
      <c r="AA12" s="252"/>
      <c r="AB12" s="252"/>
      <c r="AC12" s="252"/>
      <c r="AD12" s="252"/>
      <c r="AE12" s="82">
        <f t="shared" ref="AE12:AE17" si="6">SUM(T12:AD12)</f>
        <v>125000</v>
      </c>
      <c r="AF12" s="256" t="s">
        <v>185</v>
      </c>
    </row>
    <row r="13" spans="1:34" s="258" customFormat="1" ht="18.75" customHeight="1" x14ac:dyDescent="0.3">
      <c r="A13" s="1116"/>
      <c r="B13" s="1158"/>
      <c r="C13" s="1200"/>
      <c r="D13" s="292" t="s">
        <v>177</v>
      </c>
      <c r="E13" s="299">
        <f t="shared" si="3"/>
        <v>484000</v>
      </c>
      <c r="F13" s="299">
        <v>0</v>
      </c>
      <c r="G13" s="255">
        <f t="shared" si="4"/>
        <v>484000</v>
      </c>
      <c r="H13" s="559">
        <v>22000</v>
      </c>
      <c r="I13" s="559">
        <v>22000</v>
      </c>
      <c r="J13" s="559">
        <v>22000</v>
      </c>
      <c r="K13" s="559">
        <v>22000</v>
      </c>
      <c r="L13" s="559">
        <v>22000</v>
      </c>
      <c r="M13" s="559">
        <v>22000</v>
      </c>
      <c r="N13" s="559">
        <v>22000</v>
      </c>
      <c r="O13" s="559">
        <v>22000</v>
      </c>
      <c r="P13" s="559">
        <v>22000</v>
      </c>
      <c r="Q13" s="559">
        <v>22000</v>
      </c>
      <c r="R13" s="559">
        <v>22000</v>
      </c>
      <c r="S13" s="82">
        <f t="shared" si="5"/>
        <v>242000</v>
      </c>
      <c r="T13" s="559">
        <v>22000</v>
      </c>
      <c r="U13" s="559">
        <v>22000</v>
      </c>
      <c r="V13" s="559">
        <v>22000</v>
      </c>
      <c r="W13" s="559">
        <v>22000</v>
      </c>
      <c r="X13" s="559">
        <v>22000</v>
      </c>
      <c r="Y13" s="559">
        <v>22000</v>
      </c>
      <c r="Z13" s="559">
        <v>22000</v>
      </c>
      <c r="AA13" s="559">
        <v>22000</v>
      </c>
      <c r="AB13" s="559">
        <v>22000</v>
      </c>
      <c r="AC13" s="559">
        <v>22000</v>
      </c>
      <c r="AD13" s="559">
        <v>22000</v>
      </c>
      <c r="AE13" s="82">
        <f t="shared" si="6"/>
        <v>242000</v>
      </c>
      <c r="AF13" s="256" t="s">
        <v>185</v>
      </c>
    </row>
    <row r="14" spans="1:34" s="258" customFormat="1" ht="18.75" customHeight="1" x14ac:dyDescent="0.3">
      <c r="A14" s="1116"/>
      <c r="B14" s="1158"/>
      <c r="C14" s="1200"/>
      <c r="D14" s="609" t="s">
        <v>734</v>
      </c>
      <c r="E14" s="610">
        <f t="shared" si="3"/>
        <v>330000</v>
      </c>
      <c r="F14" s="610">
        <v>0</v>
      </c>
      <c r="G14" s="611">
        <f t="shared" si="4"/>
        <v>330000</v>
      </c>
      <c r="H14" s="252"/>
      <c r="I14" s="252"/>
      <c r="J14" s="562"/>
      <c r="K14" s="562"/>
      <c r="L14" s="562"/>
      <c r="M14" s="562"/>
      <c r="N14" s="562"/>
      <c r="O14" s="562">
        <v>22000</v>
      </c>
      <c r="P14" s="562">
        <v>22000</v>
      </c>
      <c r="Q14" s="562">
        <v>22000</v>
      </c>
      <c r="R14" s="562">
        <v>22000</v>
      </c>
      <c r="S14" s="82">
        <f t="shared" si="5"/>
        <v>88000</v>
      </c>
      <c r="T14" s="562">
        <v>22000</v>
      </c>
      <c r="U14" s="562">
        <v>22000</v>
      </c>
      <c r="V14" s="562">
        <v>22000</v>
      </c>
      <c r="W14" s="562">
        <v>22000</v>
      </c>
      <c r="X14" s="562">
        <v>22000</v>
      </c>
      <c r="Y14" s="562">
        <v>22000</v>
      </c>
      <c r="Z14" s="562">
        <v>22000</v>
      </c>
      <c r="AA14" s="562">
        <v>22000</v>
      </c>
      <c r="AB14" s="562">
        <v>22000</v>
      </c>
      <c r="AC14" s="562">
        <v>22000</v>
      </c>
      <c r="AD14" s="562">
        <v>22000</v>
      </c>
      <c r="AE14" s="82">
        <f t="shared" si="6"/>
        <v>242000</v>
      </c>
      <c r="AF14" s="256" t="s">
        <v>185</v>
      </c>
    </row>
    <row r="15" spans="1:34" s="4" customFormat="1" ht="39" customHeight="1" x14ac:dyDescent="0.3">
      <c r="A15" s="1116"/>
      <c r="B15" s="1158"/>
      <c r="C15" s="1200"/>
      <c r="D15" s="295" t="s">
        <v>286</v>
      </c>
      <c r="E15" s="298">
        <f t="shared" si="3"/>
        <v>35000</v>
      </c>
      <c r="F15" s="298">
        <v>0</v>
      </c>
      <c r="G15" s="82">
        <f t="shared" si="4"/>
        <v>35000</v>
      </c>
      <c r="H15" s="73"/>
      <c r="I15" s="73"/>
      <c r="J15" s="73"/>
      <c r="K15" s="73"/>
      <c r="L15" s="73"/>
      <c r="N15" s="73"/>
      <c r="O15" s="73"/>
      <c r="P15" s="73">
        <v>20000</v>
      </c>
      <c r="Q15" s="73"/>
      <c r="R15" s="73"/>
      <c r="S15" s="82">
        <f t="shared" si="5"/>
        <v>20000</v>
      </c>
      <c r="T15" s="73"/>
      <c r="U15" s="73"/>
      <c r="V15" s="73"/>
      <c r="W15" s="73"/>
      <c r="X15" s="73">
        <v>15000</v>
      </c>
      <c r="Y15" s="73"/>
      <c r="Z15" s="73"/>
      <c r="AA15" s="73"/>
      <c r="AB15" s="73"/>
      <c r="AC15" s="73"/>
      <c r="AD15" s="73"/>
      <c r="AE15" s="74">
        <f t="shared" si="6"/>
        <v>15000</v>
      </c>
      <c r="AF15" s="24" t="s">
        <v>185</v>
      </c>
    </row>
    <row r="16" spans="1:34" s="4" customFormat="1" ht="62.25" customHeight="1" x14ac:dyDescent="0.3">
      <c r="A16" s="1116"/>
      <c r="B16" s="1158"/>
      <c r="C16" s="1200"/>
      <c r="D16" s="295" t="s">
        <v>287</v>
      </c>
      <c r="E16" s="298">
        <f t="shared" si="3"/>
        <v>142690.35</v>
      </c>
      <c r="F16" s="298">
        <v>0</v>
      </c>
      <c r="G16" s="82">
        <f t="shared" si="4"/>
        <v>142690.35</v>
      </c>
      <c r="H16" s="73"/>
      <c r="I16" s="81"/>
      <c r="J16" s="73"/>
      <c r="K16" s="73">
        <v>3000</v>
      </c>
      <c r="L16" s="73">
        <v>3000</v>
      </c>
      <c r="M16" s="73">
        <v>3000</v>
      </c>
      <c r="N16" s="73">
        <v>2490.35</v>
      </c>
      <c r="O16" s="73">
        <v>9000</v>
      </c>
      <c r="P16" s="73">
        <v>15000</v>
      </c>
      <c r="Q16" s="73">
        <v>10000</v>
      </c>
      <c r="R16" s="73">
        <v>6000</v>
      </c>
      <c r="S16" s="82">
        <f t="shared" si="5"/>
        <v>51490.35</v>
      </c>
      <c r="T16" s="73"/>
      <c r="U16" s="73">
        <v>6000</v>
      </c>
      <c r="V16" s="73">
        <v>6000</v>
      </c>
      <c r="W16" s="73">
        <v>20000</v>
      </c>
      <c r="X16" s="73">
        <v>6000</v>
      </c>
      <c r="Y16" s="73">
        <v>6000</v>
      </c>
      <c r="Z16" s="73">
        <v>20000</v>
      </c>
      <c r="AA16" s="73">
        <v>6000</v>
      </c>
      <c r="AB16" s="73">
        <v>6200</v>
      </c>
      <c r="AC16" s="73">
        <v>15000</v>
      </c>
      <c r="AD16" s="73"/>
      <c r="AE16" s="74">
        <f t="shared" si="6"/>
        <v>91200</v>
      </c>
      <c r="AF16" s="24" t="s">
        <v>185</v>
      </c>
    </row>
    <row r="17" spans="1:32" s="4" customFormat="1" ht="34.5" customHeight="1" x14ac:dyDescent="0.3">
      <c r="A17" s="1116"/>
      <c r="B17" s="1159"/>
      <c r="C17" s="1201"/>
      <c r="D17" s="295" t="s">
        <v>288</v>
      </c>
      <c r="E17" s="298">
        <f t="shared" si="3"/>
        <v>40000</v>
      </c>
      <c r="F17" s="298">
        <v>0</v>
      </c>
      <c r="G17" s="82">
        <f t="shared" si="4"/>
        <v>40000</v>
      </c>
      <c r="H17" s="73"/>
      <c r="I17" s="73"/>
      <c r="J17" s="73"/>
      <c r="K17" s="73"/>
      <c r="M17" s="73"/>
      <c r="N17" s="76"/>
      <c r="O17" s="73"/>
      <c r="P17" s="73"/>
      <c r="Q17" s="73">
        <v>40000</v>
      </c>
      <c r="R17" s="73"/>
      <c r="S17" s="82">
        <f t="shared" si="5"/>
        <v>40000</v>
      </c>
      <c r="T17" s="73"/>
      <c r="U17" s="73"/>
      <c r="V17" s="73"/>
      <c r="W17" s="73"/>
      <c r="X17" s="73"/>
      <c r="Y17" s="73"/>
      <c r="Z17" s="73"/>
      <c r="AA17" s="73"/>
      <c r="AB17" s="73"/>
      <c r="AC17" s="73"/>
      <c r="AD17" s="73"/>
      <c r="AE17" s="74">
        <f t="shared" si="6"/>
        <v>0</v>
      </c>
      <c r="AF17" s="24" t="s">
        <v>185</v>
      </c>
    </row>
    <row r="18" spans="1:32" s="4" customFormat="1" ht="23.25" customHeight="1" x14ac:dyDescent="0.3">
      <c r="A18" s="1116"/>
      <c r="B18" s="1157" t="s">
        <v>3</v>
      </c>
      <c r="C18" s="1199" t="s">
        <v>289</v>
      </c>
      <c r="D18" s="426"/>
      <c r="E18" s="207">
        <f>SUM(E19:E20)</f>
        <v>260000</v>
      </c>
      <c r="F18" s="207">
        <f t="shared" ref="F18:AE18" si="7">SUM(F19:F20)</f>
        <v>0</v>
      </c>
      <c r="G18" s="207">
        <f t="shared" si="7"/>
        <v>260000</v>
      </c>
      <c r="H18" s="207">
        <f t="shared" si="7"/>
        <v>0</v>
      </c>
      <c r="I18" s="207">
        <f t="shared" si="7"/>
        <v>0</v>
      </c>
      <c r="J18" s="207">
        <f t="shared" si="7"/>
        <v>0</v>
      </c>
      <c r="K18" s="207">
        <f t="shared" si="7"/>
        <v>0</v>
      </c>
      <c r="L18" s="207">
        <f t="shared" si="7"/>
        <v>0</v>
      </c>
      <c r="M18" s="207">
        <f t="shared" si="7"/>
        <v>0</v>
      </c>
      <c r="N18" s="207">
        <f t="shared" si="7"/>
        <v>0</v>
      </c>
      <c r="O18" s="207">
        <f>SUM(O19:O20)</f>
        <v>30000</v>
      </c>
      <c r="P18" s="207">
        <f t="shared" si="7"/>
        <v>0</v>
      </c>
      <c r="Q18" s="207">
        <f t="shared" si="7"/>
        <v>20000</v>
      </c>
      <c r="R18" s="207">
        <f t="shared" si="7"/>
        <v>20000</v>
      </c>
      <c r="S18" s="207">
        <f t="shared" si="7"/>
        <v>70000</v>
      </c>
      <c r="T18" s="207">
        <f t="shared" si="7"/>
        <v>0</v>
      </c>
      <c r="U18" s="207">
        <f t="shared" si="7"/>
        <v>20000</v>
      </c>
      <c r="V18" s="207">
        <f t="shared" si="7"/>
        <v>50000</v>
      </c>
      <c r="W18" s="207">
        <f t="shared" si="7"/>
        <v>20000</v>
      </c>
      <c r="X18" s="207">
        <f t="shared" si="7"/>
        <v>20000</v>
      </c>
      <c r="Y18" s="207">
        <f t="shared" si="7"/>
        <v>20000</v>
      </c>
      <c r="Z18" s="207">
        <f t="shared" si="7"/>
        <v>20000</v>
      </c>
      <c r="AA18" s="207">
        <f t="shared" si="7"/>
        <v>20000</v>
      </c>
      <c r="AB18" s="207">
        <f t="shared" si="7"/>
        <v>20000</v>
      </c>
      <c r="AC18" s="207">
        <f t="shared" si="7"/>
        <v>0</v>
      </c>
      <c r="AD18" s="207">
        <f t="shared" si="7"/>
        <v>0</v>
      </c>
      <c r="AE18" s="207">
        <f t="shared" si="7"/>
        <v>190000</v>
      </c>
      <c r="AF18" s="53"/>
    </row>
    <row r="19" spans="1:32" s="4" customFormat="1" ht="79.5" customHeight="1" x14ac:dyDescent="0.3">
      <c r="A19" s="1116"/>
      <c r="B19" s="1158"/>
      <c r="C19" s="1200"/>
      <c r="D19" s="296" t="s">
        <v>290</v>
      </c>
      <c r="E19" s="298">
        <f>+S19+AE19</f>
        <v>200000</v>
      </c>
      <c r="F19" s="298">
        <v>0</v>
      </c>
      <c r="G19" s="82">
        <f>+E19+F19</f>
        <v>200000</v>
      </c>
      <c r="H19" s="73"/>
      <c r="I19" s="73"/>
      <c r="J19" s="73"/>
      <c r="K19" s="73"/>
      <c r="L19" s="73"/>
      <c r="M19" s="73"/>
      <c r="N19" s="569"/>
      <c r="O19" s="73"/>
      <c r="P19" s="73"/>
      <c r="Q19" s="73">
        <v>20000</v>
      </c>
      <c r="R19" s="73">
        <v>20000</v>
      </c>
      <c r="S19" s="74">
        <f>SUM(H19:R19)</f>
        <v>40000</v>
      </c>
      <c r="T19" s="73"/>
      <c r="U19" s="73">
        <v>20000</v>
      </c>
      <c r="V19" s="73">
        <v>20000</v>
      </c>
      <c r="W19" s="73">
        <v>20000</v>
      </c>
      <c r="X19" s="73">
        <v>20000</v>
      </c>
      <c r="Y19" s="73">
        <v>20000</v>
      </c>
      <c r="Z19" s="73">
        <v>20000</v>
      </c>
      <c r="AA19" s="73">
        <v>20000</v>
      </c>
      <c r="AB19" s="73">
        <v>20000</v>
      </c>
      <c r="AC19" s="73"/>
      <c r="AD19" s="73"/>
      <c r="AE19" s="74">
        <f>SUM(T19:AD19)</f>
        <v>160000</v>
      </c>
      <c r="AF19" s="24" t="s">
        <v>233</v>
      </c>
    </row>
    <row r="20" spans="1:32" s="4" customFormat="1" ht="80.400000000000006" customHeight="1" x14ac:dyDescent="0.3">
      <c r="A20" s="1116"/>
      <c r="B20" s="1159"/>
      <c r="C20" s="1201"/>
      <c r="D20" s="295" t="s">
        <v>291</v>
      </c>
      <c r="E20" s="298">
        <f>+S20+AE20</f>
        <v>60000</v>
      </c>
      <c r="F20" s="298">
        <v>0</v>
      </c>
      <c r="G20" s="82">
        <f>+E20+F20</f>
        <v>60000</v>
      </c>
      <c r="H20" s="73"/>
      <c r="I20" s="73"/>
      <c r="J20" s="73"/>
      <c r="K20" s="73"/>
      <c r="M20" s="73"/>
      <c r="N20" s="73"/>
      <c r="O20" s="73">
        <v>30000</v>
      </c>
      <c r="P20" s="73"/>
      <c r="Q20" s="73"/>
      <c r="R20" s="73"/>
      <c r="S20" s="74">
        <f>SUM(H20:R20)</f>
        <v>30000</v>
      </c>
      <c r="T20" s="73"/>
      <c r="U20" s="73"/>
      <c r="V20" s="73">
        <v>30000</v>
      </c>
      <c r="W20" s="73"/>
      <c r="X20" s="73"/>
      <c r="Y20" s="73"/>
      <c r="Z20" s="73"/>
      <c r="AA20" s="73"/>
      <c r="AB20" s="73"/>
      <c r="AC20" s="73"/>
      <c r="AD20" s="73"/>
      <c r="AE20" s="74">
        <f>SUM(T20:AD20)</f>
        <v>30000</v>
      </c>
      <c r="AF20" s="24" t="s">
        <v>233</v>
      </c>
    </row>
    <row r="21" spans="1:32" s="4" customFormat="1" x14ac:dyDescent="0.3">
      <c r="A21" s="1116"/>
      <c r="B21" s="1157" t="s">
        <v>4</v>
      </c>
      <c r="C21" s="1199" t="s">
        <v>555</v>
      </c>
      <c r="D21" s="426"/>
      <c r="E21" s="207">
        <f>+E22</f>
        <v>0</v>
      </c>
      <c r="F21" s="207">
        <f>+F22</f>
        <v>200000</v>
      </c>
      <c r="G21" s="207">
        <f>+G22</f>
        <v>200000</v>
      </c>
      <c r="H21" s="207">
        <f t="shared" ref="H21:AE21" si="8">SUM(H22)</f>
        <v>0</v>
      </c>
      <c r="I21" s="207">
        <f t="shared" si="8"/>
        <v>0</v>
      </c>
      <c r="J21" s="207">
        <f t="shared" si="8"/>
        <v>0</v>
      </c>
      <c r="K21" s="207">
        <f t="shared" si="8"/>
        <v>0</v>
      </c>
      <c r="L21" s="207">
        <f t="shared" si="8"/>
        <v>0</v>
      </c>
      <c r="M21" s="207">
        <f t="shared" si="8"/>
        <v>0</v>
      </c>
      <c r="N21" s="207">
        <f t="shared" si="8"/>
        <v>0</v>
      </c>
      <c r="O21" s="207">
        <f t="shared" si="8"/>
        <v>0</v>
      </c>
      <c r="P21" s="207">
        <f t="shared" si="8"/>
        <v>100000</v>
      </c>
      <c r="Q21" s="207">
        <f t="shared" si="8"/>
        <v>0</v>
      </c>
      <c r="R21" s="207">
        <f t="shared" si="8"/>
        <v>0</v>
      </c>
      <c r="S21" s="207">
        <f t="shared" si="8"/>
        <v>100000</v>
      </c>
      <c r="T21" s="207">
        <f t="shared" si="8"/>
        <v>0</v>
      </c>
      <c r="U21" s="207">
        <f t="shared" si="8"/>
        <v>0</v>
      </c>
      <c r="V21" s="207">
        <f t="shared" si="8"/>
        <v>0</v>
      </c>
      <c r="W21" s="207">
        <f t="shared" si="8"/>
        <v>100000</v>
      </c>
      <c r="X21" s="207">
        <f t="shared" si="8"/>
        <v>0</v>
      </c>
      <c r="Y21" s="207">
        <f t="shared" si="8"/>
        <v>0</v>
      </c>
      <c r="Z21" s="207">
        <f t="shared" si="8"/>
        <v>0</v>
      </c>
      <c r="AA21" s="207">
        <f t="shared" si="8"/>
        <v>0</v>
      </c>
      <c r="AB21" s="207">
        <f t="shared" si="8"/>
        <v>0</v>
      </c>
      <c r="AC21" s="207">
        <f t="shared" si="8"/>
        <v>0</v>
      </c>
      <c r="AD21" s="207">
        <f t="shared" si="8"/>
        <v>0</v>
      </c>
      <c r="AE21" s="207">
        <f t="shared" si="8"/>
        <v>100000</v>
      </c>
      <c r="AF21" s="53"/>
    </row>
    <row r="22" spans="1:32" s="118" customFormat="1" ht="63.75" customHeight="1" x14ac:dyDescent="0.3">
      <c r="A22" s="1116"/>
      <c r="B22" s="1159"/>
      <c r="C22" s="1201"/>
      <c r="D22" s="296" t="s">
        <v>292</v>
      </c>
      <c r="E22" s="298"/>
      <c r="F22" s="298">
        <f>+S22+AE22</f>
        <v>200000</v>
      </c>
      <c r="G22" s="82">
        <f>+E22+F22</f>
        <v>200000</v>
      </c>
      <c r="H22" s="73"/>
      <c r="I22" s="73"/>
      <c r="J22" s="73"/>
      <c r="K22" s="73"/>
      <c r="L22" s="73"/>
      <c r="M22" s="73"/>
      <c r="N22" s="73"/>
      <c r="O22" s="73"/>
      <c r="P22" s="73">
        <v>100000</v>
      </c>
      <c r="Q22" s="73"/>
      <c r="R22" s="73"/>
      <c r="S22" s="82">
        <f>SUM(H22:R22)</f>
        <v>100000</v>
      </c>
      <c r="T22" s="73"/>
      <c r="U22" s="73"/>
      <c r="V22" s="73"/>
      <c r="W22" s="73">
        <v>100000</v>
      </c>
      <c r="X22" s="73"/>
      <c r="Y22" s="73"/>
      <c r="Z22" s="73"/>
      <c r="AA22" s="73"/>
      <c r="AB22" s="73"/>
      <c r="AC22" s="73"/>
      <c r="AD22" s="73"/>
      <c r="AE22" s="82">
        <f>SUM(T22:AD22)</f>
        <v>100000</v>
      </c>
      <c r="AF22" s="24" t="s">
        <v>233</v>
      </c>
    </row>
    <row r="23" spans="1:32" s="4" customFormat="1" x14ac:dyDescent="0.3">
      <c r="A23" s="1116"/>
      <c r="B23" s="1157" t="s">
        <v>8</v>
      </c>
      <c r="C23" s="1199" t="s">
        <v>294</v>
      </c>
      <c r="D23" s="426"/>
      <c r="E23" s="207">
        <f>SUM(E24:E25)</f>
        <v>0</v>
      </c>
      <c r="F23" s="207">
        <f>SUM(F24:F25)</f>
        <v>2155250</v>
      </c>
      <c r="G23" s="207">
        <f t="shared" ref="G23:AE23" si="9">SUM(G24:G25)</f>
        <v>2155250</v>
      </c>
      <c r="H23" s="207">
        <f t="shared" si="9"/>
        <v>0</v>
      </c>
      <c r="I23" s="207">
        <f t="shared" si="9"/>
        <v>0</v>
      </c>
      <c r="J23" s="207">
        <f t="shared" si="9"/>
        <v>0</v>
      </c>
      <c r="K23" s="207">
        <f t="shared" si="9"/>
        <v>20000</v>
      </c>
      <c r="L23" s="207">
        <f t="shared" si="9"/>
        <v>0</v>
      </c>
      <c r="M23" s="207">
        <f t="shared" si="9"/>
        <v>0</v>
      </c>
      <c r="N23" s="207">
        <f t="shared" si="9"/>
        <v>0</v>
      </c>
      <c r="O23" s="207">
        <f t="shared" si="9"/>
        <v>0</v>
      </c>
      <c r="P23" s="207">
        <f t="shared" si="9"/>
        <v>85250</v>
      </c>
      <c r="Q23" s="207">
        <f t="shared" si="9"/>
        <v>0</v>
      </c>
      <c r="R23" s="207">
        <f t="shared" si="9"/>
        <v>0</v>
      </c>
      <c r="S23" s="207">
        <f t="shared" si="9"/>
        <v>105250</v>
      </c>
      <c r="T23" s="207">
        <f t="shared" si="9"/>
        <v>0</v>
      </c>
      <c r="U23" s="207">
        <f t="shared" si="9"/>
        <v>0</v>
      </c>
      <c r="V23" s="207">
        <f t="shared" si="9"/>
        <v>2050000</v>
      </c>
      <c r="W23" s="207">
        <f t="shared" si="9"/>
        <v>0</v>
      </c>
      <c r="X23" s="207">
        <f t="shared" si="9"/>
        <v>0</v>
      </c>
      <c r="Y23" s="207">
        <f t="shared" si="9"/>
        <v>0</v>
      </c>
      <c r="Z23" s="207">
        <f t="shared" si="9"/>
        <v>0</v>
      </c>
      <c r="AA23" s="207">
        <f t="shared" si="9"/>
        <v>0</v>
      </c>
      <c r="AB23" s="207">
        <f t="shared" si="9"/>
        <v>0</v>
      </c>
      <c r="AC23" s="207">
        <f t="shared" si="9"/>
        <v>0</v>
      </c>
      <c r="AD23" s="207">
        <f t="shared" si="9"/>
        <v>0</v>
      </c>
      <c r="AE23" s="207">
        <f t="shared" si="9"/>
        <v>2050000</v>
      </c>
      <c r="AF23" s="72"/>
    </row>
    <row r="24" spans="1:32" s="4" customFormat="1" ht="43.2" x14ac:dyDescent="0.3">
      <c r="A24" s="1116"/>
      <c r="B24" s="1158"/>
      <c r="C24" s="1200"/>
      <c r="D24" s="296" t="s">
        <v>295</v>
      </c>
      <c r="E24" s="298"/>
      <c r="F24" s="298">
        <f>+S24+AE24</f>
        <v>105250</v>
      </c>
      <c r="G24" s="82">
        <f>+E24+F24</f>
        <v>105250</v>
      </c>
      <c r="H24" s="73"/>
      <c r="I24" s="73"/>
      <c r="J24" s="73"/>
      <c r="K24" s="73">
        <v>20000</v>
      </c>
      <c r="L24" s="73"/>
      <c r="M24" s="73"/>
      <c r="N24" s="73"/>
      <c r="O24" s="73"/>
      <c r="P24" s="73">
        <f>105250-20000</f>
        <v>85250</v>
      </c>
      <c r="Q24" s="73"/>
      <c r="R24" s="73"/>
      <c r="S24" s="74">
        <f>SUM(H24:R24)</f>
        <v>105250</v>
      </c>
      <c r="T24" s="73"/>
      <c r="U24" s="73"/>
      <c r="V24" s="73"/>
      <c r="W24" s="73"/>
      <c r="X24" s="73"/>
      <c r="Y24" s="73"/>
      <c r="Z24" s="73"/>
      <c r="AA24" s="73"/>
      <c r="AB24" s="73"/>
      <c r="AC24" s="73"/>
      <c r="AD24" s="73"/>
      <c r="AE24" s="74">
        <f>SUM(T24:AD24)</f>
        <v>0</v>
      </c>
      <c r="AF24" s="24" t="s">
        <v>303</v>
      </c>
    </row>
    <row r="25" spans="1:32" s="4" customFormat="1" ht="33" customHeight="1" x14ac:dyDescent="0.3">
      <c r="A25" s="1116"/>
      <c r="B25" s="1159"/>
      <c r="C25" s="1201"/>
      <c r="D25" s="286" t="s">
        <v>574</v>
      </c>
      <c r="E25" s="298"/>
      <c r="F25" s="298">
        <f>+S25+AE25</f>
        <v>2050000</v>
      </c>
      <c r="G25" s="82">
        <f>+E25+F25</f>
        <v>2050000</v>
      </c>
      <c r="H25" s="73"/>
      <c r="I25" s="73"/>
      <c r="J25" s="73"/>
      <c r="K25" s="73"/>
      <c r="L25" s="73"/>
      <c r="M25" s="73"/>
      <c r="N25" s="73"/>
      <c r="O25" s="73"/>
      <c r="P25" s="73"/>
      <c r="Q25" s="73"/>
      <c r="R25" s="73"/>
      <c r="S25" s="74">
        <f>SUM(H25:R25)</f>
        <v>0</v>
      </c>
      <c r="T25" s="73"/>
      <c r="U25" s="73"/>
      <c r="V25" s="73">
        <v>2050000</v>
      </c>
      <c r="W25" s="73"/>
      <c r="X25" s="73"/>
      <c r="Y25" s="73"/>
      <c r="Z25" s="73"/>
      <c r="AA25" s="73"/>
      <c r="AB25" s="73"/>
      <c r="AC25" s="73"/>
      <c r="AD25" s="73"/>
      <c r="AE25" s="74">
        <f>SUM(T25:AD25)</f>
        <v>2050000</v>
      </c>
      <c r="AF25" s="24" t="s">
        <v>303</v>
      </c>
    </row>
    <row r="26" spans="1:32" s="4" customFormat="1" ht="24" customHeight="1" x14ac:dyDescent="0.3">
      <c r="A26" s="1116"/>
      <c r="B26" s="1243" t="s">
        <v>9</v>
      </c>
      <c r="C26" s="1246" t="s">
        <v>319</v>
      </c>
      <c r="D26" s="426"/>
      <c r="E26" s="207">
        <f>SUM(E27:E28)</f>
        <v>300000</v>
      </c>
      <c r="F26" s="207">
        <f t="shared" ref="F26:AE26" si="10">SUM(F27:F28)</f>
        <v>0</v>
      </c>
      <c r="G26" s="207">
        <f t="shared" si="10"/>
        <v>300000</v>
      </c>
      <c r="H26" s="207">
        <f t="shared" si="10"/>
        <v>0</v>
      </c>
      <c r="I26" s="207">
        <f t="shared" si="10"/>
        <v>0</v>
      </c>
      <c r="J26" s="207">
        <f t="shared" si="10"/>
        <v>0</v>
      </c>
      <c r="K26" s="207">
        <f t="shared" si="10"/>
        <v>0</v>
      </c>
      <c r="L26" s="207">
        <f t="shared" si="10"/>
        <v>0</v>
      </c>
      <c r="M26" s="207">
        <f t="shared" si="10"/>
        <v>0</v>
      </c>
      <c r="N26" s="207">
        <f t="shared" si="10"/>
        <v>45000</v>
      </c>
      <c r="O26" s="207">
        <f t="shared" si="10"/>
        <v>45000</v>
      </c>
      <c r="P26" s="207">
        <f t="shared" si="10"/>
        <v>45000</v>
      </c>
      <c r="Q26" s="207">
        <f t="shared" si="10"/>
        <v>15000</v>
      </c>
      <c r="R26" s="207">
        <f t="shared" si="10"/>
        <v>0</v>
      </c>
      <c r="S26" s="207">
        <f t="shared" si="10"/>
        <v>150000</v>
      </c>
      <c r="T26" s="207">
        <f t="shared" si="10"/>
        <v>0</v>
      </c>
      <c r="U26" s="207">
        <f t="shared" si="10"/>
        <v>0</v>
      </c>
      <c r="V26" s="207">
        <f t="shared" si="10"/>
        <v>45000</v>
      </c>
      <c r="W26" s="207">
        <f t="shared" si="10"/>
        <v>0</v>
      </c>
      <c r="X26" s="207">
        <f t="shared" si="10"/>
        <v>15000</v>
      </c>
      <c r="Y26" s="207">
        <f t="shared" si="10"/>
        <v>30000</v>
      </c>
      <c r="Z26" s="207">
        <f t="shared" si="10"/>
        <v>15000</v>
      </c>
      <c r="AA26" s="207">
        <f t="shared" si="10"/>
        <v>0</v>
      </c>
      <c r="AB26" s="207">
        <f t="shared" si="10"/>
        <v>45000</v>
      </c>
      <c r="AC26" s="207">
        <f t="shared" si="10"/>
        <v>0</v>
      </c>
      <c r="AD26" s="207">
        <f t="shared" si="10"/>
        <v>0</v>
      </c>
      <c r="AE26" s="207">
        <f t="shared" si="10"/>
        <v>150000</v>
      </c>
      <c r="AF26" s="72"/>
    </row>
    <row r="27" spans="1:32" s="4" customFormat="1" ht="32.25" customHeight="1" x14ac:dyDescent="0.3">
      <c r="A27" s="1116"/>
      <c r="B27" s="1244"/>
      <c r="C27" s="1247"/>
      <c r="D27" s="304" t="s">
        <v>320</v>
      </c>
      <c r="E27" s="298">
        <f>+S27+AE27</f>
        <v>120000</v>
      </c>
      <c r="F27" s="298">
        <v>0</v>
      </c>
      <c r="G27" s="82">
        <f>+E27+F27</f>
        <v>120000</v>
      </c>
      <c r="H27" s="73"/>
      <c r="I27" s="73"/>
      <c r="J27" s="73"/>
      <c r="K27" s="73"/>
      <c r="L27" s="73"/>
      <c r="M27" s="73"/>
      <c r="N27" s="569">
        <v>15000</v>
      </c>
      <c r="O27" s="73">
        <v>15000</v>
      </c>
      <c r="P27" s="73">
        <v>15000</v>
      </c>
      <c r="Q27" s="73">
        <v>15000</v>
      </c>
      <c r="R27" s="73"/>
      <c r="S27" s="74">
        <f>SUM(H27:R27)</f>
        <v>60000</v>
      </c>
      <c r="T27" s="73"/>
      <c r="U27" s="73"/>
      <c r="V27" s="73">
        <v>15000</v>
      </c>
      <c r="W27" s="73"/>
      <c r="X27" s="73">
        <v>15000</v>
      </c>
      <c r="Y27" s="73"/>
      <c r="Z27" s="73">
        <v>15000</v>
      </c>
      <c r="AA27" s="73"/>
      <c r="AB27" s="73">
        <v>15000</v>
      </c>
      <c r="AC27" s="73"/>
      <c r="AD27" s="73"/>
      <c r="AE27" s="74">
        <f>SUM(T27:AD27)</f>
        <v>60000</v>
      </c>
      <c r="AF27" s="24" t="s">
        <v>303</v>
      </c>
    </row>
    <row r="28" spans="1:32" s="4" customFormat="1" ht="53.25" customHeight="1" x14ac:dyDescent="0.3">
      <c r="A28" s="1115"/>
      <c r="B28" s="1245"/>
      <c r="C28" s="1248"/>
      <c r="D28" s="303" t="s">
        <v>321</v>
      </c>
      <c r="E28" s="298">
        <f>+S28+AE28</f>
        <v>180000</v>
      </c>
      <c r="F28" s="298">
        <v>0</v>
      </c>
      <c r="G28" s="82">
        <f>+E28+F28</f>
        <v>180000</v>
      </c>
      <c r="H28" s="73"/>
      <c r="I28" s="73"/>
      <c r="J28" s="73"/>
      <c r="K28" s="73"/>
      <c r="L28" s="73"/>
      <c r="M28" s="73"/>
      <c r="N28" s="569">
        <v>30000</v>
      </c>
      <c r="O28" s="73">
        <v>30000</v>
      </c>
      <c r="P28" s="73">
        <v>30000</v>
      </c>
      <c r="Q28" s="73"/>
      <c r="R28" s="73"/>
      <c r="S28" s="74">
        <f>SUM(H28:R28)</f>
        <v>90000</v>
      </c>
      <c r="T28" s="73"/>
      <c r="U28" s="73"/>
      <c r="V28" s="73">
        <v>30000</v>
      </c>
      <c r="W28" s="73"/>
      <c r="X28" s="73"/>
      <c r="Y28" s="73">
        <v>30000</v>
      </c>
      <c r="Z28" s="73"/>
      <c r="AA28" s="73"/>
      <c r="AB28" s="73">
        <v>30000</v>
      </c>
      <c r="AC28" s="73"/>
      <c r="AD28" s="73"/>
      <c r="AE28" s="74">
        <f>SUM(T28:AD28)</f>
        <v>90000</v>
      </c>
      <c r="AF28" s="24" t="s">
        <v>303</v>
      </c>
    </row>
    <row r="29" spans="1:32" s="67" customFormat="1" ht="37.5" customHeight="1" x14ac:dyDescent="0.3">
      <c r="A29" s="1085" t="s">
        <v>293</v>
      </c>
      <c r="B29" s="1235"/>
      <c r="C29" s="1235"/>
      <c r="D29" s="1235"/>
      <c r="E29" s="1235"/>
      <c r="F29" s="1235"/>
      <c r="G29" s="1236"/>
      <c r="H29" s="69"/>
      <c r="I29" s="69"/>
      <c r="J29" s="69"/>
      <c r="K29" s="69"/>
      <c r="L29" s="69"/>
      <c r="M29" s="69"/>
      <c r="N29" s="69"/>
      <c r="O29" s="69"/>
      <c r="P29" s="69"/>
      <c r="Q29" s="69"/>
      <c r="R29" s="69"/>
      <c r="S29" s="69"/>
      <c r="T29" s="69"/>
      <c r="U29" s="69"/>
      <c r="V29" s="69"/>
      <c r="W29" s="69"/>
      <c r="X29" s="69"/>
      <c r="Y29" s="69"/>
      <c r="Z29" s="69"/>
      <c r="AA29" s="69"/>
      <c r="AB29" s="69"/>
      <c r="AC29" s="69"/>
      <c r="AD29" s="69"/>
      <c r="AE29" s="69"/>
      <c r="AF29" s="20"/>
    </row>
    <row r="30" spans="1:32" ht="23.25" customHeight="1" x14ac:dyDescent="0.3">
      <c r="A30" s="1075" t="s">
        <v>759</v>
      </c>
      <c r="B30" s="266"/>
      <c r="C30" s="301"/>
      <c r="D30" s="291"/>
      <c r="E30" s="267">
        <f t="shared" ref="E30:AE30" si="11">+E31+E37+E43+E46</f>
        <v>2152500</v>
      </c>
      <c r="F30" s="267">
        <f t="shared" si="11"/>
        <v>1763283.8199999998</v>
      </c>
      <c r="G30" s="267">
        <f t="shared" si="11"/>
        <v>3915783.82</v>
      </c>
      <c r="H30" s="267">
        <f t="shared" si="11"/>
        <v>0</v>
      </c>
      <c r="I30" s="267">
        <f t="shared" si="11"/>
        <v>0</v>
      </c>
      <c r="J30" s="267">
        <f t="shared" si="11"/>
        <v>0</v>
      </c>
      <c r="K30" s="267">
        <f t="shared" si="11"/>
        <v>46000</v>
      </c>
      <c r="L30" s="267">
        <f t="shared" si="11"/>
        <v>147000</v>
      </c>
      <c r="M30" s="267">
        <f t="shared" si="11"/>
        <v>22000</v>
      </c>
      <c r="N30" s="267">
        <f t="shared" si="11"/>
        <v>113000</v>
      </c>
      <c r="O30" s="267">
        <f t="shared" si="11"/>
        <v>321000</v>
      </c>
      <c r="P30" s="267">
        <f t="shared" si="11"/>
        <v>140500</v>
      </c>
      <c r="Q30" s="267">
        <f t="shared" si="11"/>
        <v>183500</v>
      </c>
      <c r="R30" s="267">
        <f t="shared" si="11"/>
        <v>119000</v>
      </c>
      <c r="S30" s="267">
        <f t="shared" si="11"/>
        <v>1092000</v>
      </c>
      <c r="T30" s="267">
        <f t="shared" si="11"/>
        <v>44000</v>
      </c>
      <c r="U30" s="267">
        <f t="shared" si="11"/>
        <v>1018533.82</v>
      </c>
      <c r="V30" s="267">
        <f t="shared" si="11"/>
        <v>164000</v>
      </c>
      <c r="W30" s="267">
        <f t="shared" si="11"/>
        <v>735250</v>
      </c>
      <c r="X30" s="267">
        <f t="shared" si="11"/>
        <v>140500</v>
      </c>
      <c r="Y30" s="267">
        <f t="shared" si="11"/>
        <v>139000</v>
      </c>
      <c r="Z30" s="267">
        <f t="shared" si="11"/>
        <v>139000</v>
      </c>
      <c r="AA30" s="267">
        <f t="shared" si="11"/>
        <v>121000</v>
      </c>
      <c r="AB30" s="267">
        <f t="shared" si="11"/>
        <v>154500</v>
      </c>
      <c r="AC30" s="267">
        <f t="shared" si="11"/>
        <v>99000</v>
      </c>
      <c r="AD30" s="267">
        <f t="shared" si="11"/>
        <v>69000</v>
      </c>
      <c r="AE30" s="267">
        <f t="shared" si="11"/>
        <v>2823783.82</v>
      </c>
      <c r="AF30" s="266"/>
    </row>
    <row r="31" spans="1:32" ht="22.5" customHeight="1" x14ac:dyDescent="0.3">
      <c r="A31" s="1076"/>
      <c r="B31" s="1157" t="s">
        <v>2</v>
      </c>
      <c r="C31" s="1135" t="s">
        <v>314</v>
      </c>
      <c r="D31" s="426"/>
      <c r="E31" s="207">
        <f t="shared" ref="E31:AE31" si="12">SUM(E32:E36)</f>
        <v>934000</v>
      </c>
      <c r="F31" s="207">
        <f t="shared" si="12"/>
        <v>0</v>
      </c>
      <c r="G31" s="207">
        <f t="shared" si="12"/>
        <v>934000</v>
      </c>
      <c r="H31" s="207">
        <f t="shared" si="12"/>
        <v>0</v>
      </c>
      <c r="I31" s="207">
        <f t="shared" si="12"/>
        <v>0</v>
      </c>
      <c r="J31" s="207">
        <f t="shared" si="12"/>
        <v>0</v>
      </c>
      <c r="K31" s="207">
        <f t="shared" si="12"/>
        <v>11000</v>
      </c>
      <c r="L31" s="207">
        <f t="shared" si="12"/>
        <v>22000</v>
      </c>
      <c r="M31" s="207">
        <f t="shared" si="12"/>
        <v>22000</v>
      </c>
      <c r="N31" s="207">
        <f t="shared" si="12"/>
        <v>26000</v>
      </c>
      <c r="O31" s="207">
        <f t="shared" si="12"/>
        <v>26000</v>
      </c>
      <c r="P31" s="207">
        <f t="shared" si="12"/>
        <v>48000</v>
      </c>
      <c r="Q31" s="207">
        <f t="shared" si="12"/>
        <v>89000</v>
      </c>
      <c r="R31" s="207">
        <f t="shared" si="12"/>
        <v>44000</v>
      </c>
      <c r="S31" s="207">
        <f t="shared" si="12"/>
        <v>288000</v>
      </c>
      <c r="T31" s="207">
        <f t="shared" si="12"/>
        <v>44000</v>
      </c>
      <c r="U31" s="207">
        <f t="shared" si="12"/>
        <v>46500</v>
      </c>
      <c r="V31" s="207">
        <f t="shared" si="12"/>
        <v>44000</v>
      </c>
      <c r="W31" s="207">
        <f t="shared" si="12"/>
        <v>46500</v>
      </c>
      <c r="X31" s="207">
        <f t="shared" si="12"/>
        <v>44000</v>
      </c>
      <c r="Y31" s="207">
        <f t="shared" si="12"/>
        <v>71500</v>
      </c>
      <c r="Z31" s="207">
        <f t="shared" si="12"/>
        <v>69000</v>
      </c>
      <c r="AA31" s="207">
        <f t="shared" si="12"/>
        <v>71000</v>
      </c>
      <c r="AB31" s="207">
        <f t="shared" si="12"/>
        <v>71500</v>
      </c>
      <c r="AC31" s="207">
        <f t="shared" si="12"/>
        <v>69000</v>
      </c>
      <c r="AD31" s="207">
        <f t="shared" si="12"/>
        <v>69000</v>
      </c>
      <c r="AE31" s="207">
        <f t="shared" si="12"/>
        <v>646000</v>
      </c>
      <c r="AF31" s="268"/>
    </row>
    <row r="32" spans="1:32" s="258" customFormat="1" ht="18.75" customHeight="1" x14ac:dyDescent="0.3">
      <c r="A32" s="1076"/>
      <c r="B32" s="1158"/>
      <c r="C32" s="1136"/>
      <c r="D32" s="567" t="s">
        <v>318</v>
      </c>
      <c r="E32" s="298">
        <f>+S32+AE32</f>
        <v>150000</v>
      </c>
      <c r="F32" s="298">
        <v>0</v>
      </c>
      <c r="G32" s="82">
        <f>+E32+F32</f>
        <v>150000</v>
      </c>
      <c r="H32" s="252"/>
      <c r="I32" s="252"/>
      <c r="J32" s="252"/>
      <c r="K32" s="252"/>
      <c r="L32" s="252"/>
      <c r="M32" s="252"/>
      <c r="N32" s="252"/>
      <c r="O32" s="252"/>
      <c r="P32" s="252"/>
      <c r="Q32" s="252"/>
      <c r="R32" s="252"/>
      <c r="S32" s="82">
        <f>SUM(H32:R32)</f>
        <v>0</v>
      </c>
      <c r="T32" s="252"/>
      <c r="U32" s="252"/>
      <c r="V32" s="252"/>
      <c r="W32" s="252"/>
      <c r="X32" s="252"/>
      <c r="Y32" s="556">
        <v>25000</v>
      </c>
      <c r="Z32" s="556">
        <v>25000</v>
      </c>
      <c r="AA32" s="556">
        <v>25000</v>
      </c>
      <c r="AB32" s="556">
        <v>25000</v>
      </c>
      <c r="AC32" s="556">
        <v>25000</v>
      </c>
      <c r="AD32" s="556">
        <v>25000</v>
      </c>
      <c r="AE32" s="82">
        <f>SUM(T32:AD32)</f>
        <v>150000</v>
      </c>
      <c r="AF32" s="256" t="s">
        <v>185</v>
      </c>
    </row>
    <row r="33" spans="1:32" s="258" customFormat="1" ht="22.5" customHeight="1" x14ac:dyDescent="0.3">
      <c r="A33" s="1076"/>
      <c r="B33" s="1158"/>
      <c r="C33" s="1136"/>
      <c r="D33" s="292" t="s">
        <v>177</v>
      </c>
      <c r="E33" s="299">
        <f>+S33+AE33</f>
        <v>407000</v>
      </c>
      <c r="F33" s="299">
        <v>0</v>
      </c>
      <c r="G33" s="255">
        <f>+E33+F33</f>
        <v>407000</v>
      </c>
      <c r="H33" s="252">
        <v>0</v>
      </c>
      <c r="I33" s="252">
        <v>0</v>
      </c>
      <c r="J33" s="559"/>
      <c r="K33" s="559">
        <v>11000</v>
      </c>
      <c r="L33" s="559">
        <v>22000</v>
      </c>
      <c r="M33" s="559">
        <v>22000</v>
      </c>
      <c r="N33" s="559">
        <v>22000</v>
      </c>
      <c r="O33" s="559">
        <v>22000</v>
      </c>
      <c r="P33" s="559">
        <v>22000</v>
      </c>
      <c r="Q33" s="559">
        <v>22000</v>
      </c>
      <c r="R33" s="559">
        <v>22000</v>
      </c>
      <c r="S33" s="82">
        <f>SUM(H33:R33)</f>
        <v>165000</v>
      </c>
      <c r="T33" s="559">
        <v>22000</v>
      </c>
      <c r="U33" s="559">
        <v>22000</v>
      </c>
      <c r="V33" s="559">
        <v>22000</v>
      </c>
      <c r="W33" s="559">
        <v>22000</v>
      </c>
      <c r="X33" s="559">
        <v>22000</v>
      </c>
      <c r="Y33" s="559">
        <v>22000</v>
      </c>
      <c r="Z33" s="559">
        <v>22000</v>
      </c>
      <c r="AA33" s="559">
        <v>22000</v>
      </c>
      <c r="AB33" s="559">
        <v>22000</v>
      </c>
      <c r="AC33" s="559">
        <v>22000</v>
      </c>
      <c r="AD33" s="559">
        <v>22000</v>
      </c>
      <c r="AE33" s="82">
        <f>SUM(T33:AD33)</f>
        <v>242000</v>
      </c>
      <c r="AF33" s="256" t="s">
        <v>185</v>
      </c>
    </row>
    <row r="34" spans="1:32" s="258" customFormat="1" ht="30.75" customHeight="1" x14ac:dyDescent="0.3">
      <c r="A34" s="1076"/>
      <c r="B34" s="1158"/>
      <c r="C34" s="1136"/>
      <c r="D34" s="609" t="s">
        <v>183</v>
      </c>
      <c r="E34" s="610">
        <f>+S34+AE34</f>
        <v>308000</v>
      </c>
      <c r="F34" s="610">
        <v>0</v>
      </c>
      <c r="G34" s="611">
        <f>+E34+F34</f>
        <v>308000</v>
      </c>
      <c r="H34" s="252"/>
      <c r="I34" s="252"/>
      <c r="J34" s="562"/>
      <c r="K34" s="562"/>
      <c r="L34" s="562"/>
      <c r="M34" s="562"/>
      <c r="N34" s="562"/>
      <c r="O34" s="562"/>
      <c r="P34" s="562">
        <v>22000</v>
      </c>
      <c r="Q34" s="562">
        <v>22000</v>
      </c>
      <c r="R34" s="562">
        <v>22000</v>
      </c>
      <c r="S34" s="82">
        <f>SUM(H34:R34)</f>
        <v>66000</v>
      </c>
      <c r="T34" s="562">
        <v>22000</v>
      </c>
      <c r="U34" s="562">
        <v>22000</v>
      </c>
      <c r="V34" s="562">
        <v>22000</v>
      </c>
      <c r="W34" s="562">
        <v>22000</v>
      </c>
      <c r="X34" s="562">
        <v>22000</v>
      </c>
      <c r="Y34" s="562">
        <v>22000</v>
      </c>
      <c r="Z34" s="562">
        <v>22000</v>
      </c>
      <c r="AA34" s="562">
        <v>22000</v>
      </c>
      <c r="AB34" s="562">
        <v>22000</v>
      </c>
      <c r="AC34" s="562">
        <v>22000</v>
      </c>
      <c r="AD34" s="562">
        <v>22000</v>
      </c>
      <c r="AE34" s="82">
        <f>SUM(T34:AD34)</f>
        <v>242000</v>
      </c>
      <c r="AF34" s="256" t="s">
        <v>185</v>
      </c>
    </row>
    <row r="35" spans="1:32" s="4" customFormat="1" ht="54" customHeight="1" x14ac:dyDescent="0.3">
      <c r="A35" s="1076"/>
      <c r="B35" s="1158"/>
      <c r="C35" s="1136"/>
      <c r="D35" s="295" t="s">
        <v>300</v>
      </c>
      <c r="E35" s="298">
        <f>+S35+AE35</f>
        <v>24000</v>
      </c>
      <c r="F35" s="298">
        <v>0</v>
      </c>
      <c r="G35" s="82">
        <f>+E35+F35</f>
        <v>24000</v>
      </c>
      <c r="H35" s="73"/>
      <c r="I35" s="73"/>
      <c r="J35" s="73"/>
      <c r="K35" s="73"/>
      <c r="L35" s="73"/>
      <c r="M35" s="73"/>
      <c r="N35" s="569">
        <v>4000</v>
      </c>
      <c r="O35" s="73">
        <v>4000</v>
      </c>
      <c r="P35" s="73">
        <v>4000</v>
      </c>
      <c r="Q35" s="73"/>
      <c r="R35" s="73"/>
      <c r="S35" s="74">
        <f>SUM(H35:R35)</f>
        <v>12000</v>
      </c>
      <c r="T35" s="73"/>
      <c r="U35" s="73">
        <v>2500</v>
      </c>
      <c r="V35" s="73"/>
      <c r="W35" s="73">
        <v>2500</v>
      </c>
      <c r="X35" s="73"/>
      <c r="Y35" s="73">
        <v>2500</v>
      </c>
      <c r="Z35" s="73"/>
      <c r="AA35" s="73">
        <v>2000</v>
      </c>
      <c r="AB35" s="73">
        <v>2500</v>
      </c>
      <c r="AC35" s="73"/>
      <c r="AD35" s="73"/>
      <c r="AE35" s="74">
        <f>SUM(T35:AD35)</f>
        <v>12000</v>
      </c>
      <c r="AF35" s="24" t="s">
        <v>185</v>
      </c>
    </row>
    <row r="36" spans="1:32" s="4" customFormat="1" ht="84" customHeight="1" x14ac:dyDescent="0.3">
      <c r="A36" s="1076"/>
      <c r="B36" s="1158"/>
      <c r="C36" s="1136"/>
      <c r="D36" s="295" t="s">
        <v>298</v>
      </c>
      <c r="E36" s="298">
        <f>+S36+AE36</f>
        <v>45000</v>
      </c>
      <c r="F36" s="298">
        <v>0</v>
      </c>
      <c r="G36" s="82">
        <f>+E36+F36</f>
        <v>45000</v>
      </c>
      <c r="H36" s="73"/>
      <c r="I36" s="73"/>
      <c r="J36" s="73"/>
      <c r="K36" s="73"/>
      <c r="L36" s="73"/>
      <c r="M36" s="73"/>
      <c r="N36" s="569"/>
      <c r="O36" s="73"/>
      <c r="P36" s="73"/>
      <c r="Q36" s="73">
        <v>45000</v>
      </c>
      <c r="R36" s="73"/>
      <c r="S36" s="74">
        <f>SUM(H36:R36)</f>
        <v>45000</v>
      </c>
      <c r="T36" s="73"/>
      <c r="U36" s="73"/>
      <c r="V36" s="73"/>
      <c r="W36" s="73"/>
      <c r="X36" s="73"/>
      <c r="Y36" s="73"/>
      <c r="Z36" s="73"/>
      <c r="AA36" s="73"/>
      <c r="AB36" s="73"/>
      <c r="AC36" s="73"/>
      <c r="AD36" s="73"/>
      <c r="AE36" s="74">
        <f>SUM(T36:AD36)</f>
        <v>0</v>
      </c>
      <c r="AF36" s="24" t="s">
        <v>232</v>
      </c>
    </row>
    <row r="37" spans="1:32" ht="21.75" customHeight="1" x14ac:dyDescent="0.3">
      <c r="A37" s="1076"/>
      <c r="B37" s="1157" t="s">
        <v>3</v>
      </c>
      <c r="C37" s="1135" t="s">
        <v>296</v>
      </c>
      <c r="D37" s="426"/>
      <c r="E37" s="207">
        <f>SUM(E38:E42)</f>
        <v>1117500</v>
      </c>
      <c r="F37" s="207">
        <f t="shared" ref="F37:AE37" si="13">SUM(F38:F42)</f>
        <v>0</v>
      </c>
      <c r="G37" s="207">
        <f t="shared" si="13"/>
        <v>1117500</v>
      </c>
      <c r="H37" s="207">
        <f t="shared" si="13"/>
        <v>0</v>
      </c>
      <c r="I37" s="207">
        <f t="shared" si="13"/>
        <v>0</v>
      </c>
      <c r="J37" s="207">
        <f t="shared" si="13"/>
        <v>0</v>
      </c>
      <c r="K37" s="207">
        <f t="shared" si="13"/>
        <v>35000</v>
      </c>
      <c r="L37" s="207">
        <f t="shared" si="13"/>
        <v>125000</v>
      </c>
      <c r="M37" s="207">
        <f t="shared" si="13"/>
        <v>0</v>
      </c>
      <c r="N37" s="207">
        <f t="shared" si="13"/>
        <v>11000</v>
      </c>
      <c r="O37" s="207">
        <f t="shared" si="13"/>
        <v>45000</v>
      </c>
      <c r="P37" s="207">
        <f t="shared" si="13"/>
        <v>92500</v>
      </c>
      <c r="Q37" s="207">
        <f t="shared" si="13"/>
        <v>94500</v>
      </c>
      <c r="R37" s="207">
        <f t="shared" si="13"/>
        <v>75000</v>
      </c>
      <c r="S37" s="207">
        <f t="shared" si="13"/>
        <v>478000</v>
      </c>
      <c r="T37" s="207">
        <f t="shared" si="13"/>
        <v>0</v>
      </c>
      <c r="U37" s="207">
        <f t="shared" si="13"/>
        <v>80000</v>
      </c>
      <c r="V37" s="207">
        <f t="shared" si="13"/>
        <v>95000</v>
      </c>
      <c r="W37" s="207">
        <f t="shared" si="13"/>
        <v>67500</v>
      </c>
      <c r="X37" s="207">
        <f t="shared" si="13"/>
        <v>96500</v>
      </c>
      <c r="Y37" s="207">
        <f t="shared" si="13"/>
        <v>67500</v>
      </c>
      <c r="Z37" s="207">
        <f t="shared" si="13"/>
        <v>70000</v>
      </c>
      <c r="AA37" s="207">
        <f t="shared" si="13"/>
        <v>50000</v>
      </c>
      <c r="AB37" s="207">
        <f t="shared" si="13"/>
        <v>83000</v>
      </c>
      <c r="AC37" s="207">
        <f t="shared" si="13"/>
        <v>30000</v>
      </c>
      <c r="AD37" s="207">
        <f t="shared" si="13"/>
        <v>0</v>
      </c>
      <c r="AE37" s="207">
        <f t="shared" si="13"/>
        <v>639500</v>
      </c>
      <c r="AF37" s="268"/>
    </row>
    <row r="38" spans="1:32" s="4" customFormat="1" ht="54.6" customHeight="1" x14ac:dyDescent="0.3">
      <c r="A38" s="1076"/>
      <c r="B38" s="1158"/>
      <c r="C38" s="1136"/>
      <c r="D38" s="295" t="s">
        <v>302</v>
      </c>
      <c r="E38" s="298">
        <f>+S38+AE38</f>
        <v>44000</v>
      </c>
      <c r="F38" s="298">
        <v>0</v>
      </c>
      <c r="G38" s="82">
        <f>+E38+F38</f>
        <v>44000</v>
      </c>
      <c r="H38" s="73"/>
      <c r="I38" s="73"/>
      <c r="J38" s="73"/>
      <c r="K38" s="73"/>
      <c r="L38" s="73"/>
      <c r="M38" s="73"/>
      <c r="N38" s="569">
        <v>5000</v>
      </c>
      <c r="O38" s="73">
        <v>5000</v>
      </c>
      <c r="P38" s="73">
        <v>5000</v>
      </c>
      <c r="Q38" s="73">
        <v>7000</v>
      </c>
      <c r="R38" s="73"/>
      <c r="S38" s="74">
        <f>SUM(H38:R38)</f>
        <v>22000</v>
      </c>
      <c r="T38" s="73"/>
      <c r="U38" s="73">
        <v>5000</v>
      </c>
      <c r="V38" s="73"/>
      <c r="W38" s="73">
        <v>5000</v>
      </c>
      <c r="X38" s="73"/>
      <c r="Y38" s="73">
        <v>5000</v>
      </c>
      <c r="Z38" s="73"/>
      <c r="AB38" s="73">
        <v>7000</v>
      </c>
      <c r="AC38" s="73"/>
      <c r="AD38" s="73"/>
      <c r="AE38" s="74">
        <f>SUM(T38:AD38)</f>
        <v>22000</v>
      </c>
      <c r="AF38" s="24" t="s">
        <v>185</v>
      </c>
    </row>
    <row r="39" spans="1:32" s="4" customFormat="1" ht="40.950000000000003" customHeight="1" x14ac:dyDescent="0.3">
      <c r="A39" s="1076"/>
      <c r="B39" s="1158"/>
      <c r="C39" s="1136"/>
      <c r="D39" s="295" t="s">
        <v>297</v>
      </c>
      <c r="E39" s="298">
        <f>+S39+AE39</f>
        <v>13500</v>
      </c>
      <c r="F39" s="298">
        <v>0</v>
      </c>
      <c r="G39" s="82">
        <f>+E39+F39</f>
        <v>13500</v>
      </c>
      <c r="H39" s="73"/>
      <c r="I39" s="73"/>
      <c r="J39" s="73"/>
      <c r="K39" s="73"/>
      <c r="L39" s="73"/>
      <c r="M39" s="73"/>
      <c r="N39" s="569">
        <v>6000</v>
      </c>
      <c r="O39" s="73"/>
      <c r="P39" s="73"/>
      <c r="Q39" s="73"/>
      <c r="R39" s="73"/>
      <c r="S39" s="74">
        <f>SUM(H39:R39)</f>
        <v>6000</v>
      </c>
      <c r="T39" s="73"/>
      <c r="U39" s="73"/>
      <c r="V39" s="73">
        <v>7500</v>
      </c>
      <c r="W39" s="73"/>
      <c r="X39" s="73"/>
      <c r="Y39" s="73"/>
      <c r="Z39" s="73"/>
      <c r="AA39" s="73"/>
      <c r="AB39" s="73"/>
      <c r="AC39" s="73"/>
      <c r="AD39" s="73"/>
      <c r="AE39" s="74">
        <f>SUM(T39:AD39)</f>
        <v>7500</v>
      </c>
      <c r="AF39" s="24" t="s">
        <v>185</v>
      </c>
    </row>
    <row r="40" spans="1:32" s="4" customFormat="1" ht="111" customHeight="1" x14ac:dyDescent="0.3">
      <c r="A40" s="1076"/>
      <c r="B40" s="1158"/>
      <c r="C40" s="1136"/>
      <c r="D40" s="295" t="s">
        <v>575</v>
      </c>
      <c r="E40" s="298">
        <f>+S40+AE40</f>
        <v>100000</v>
      </c>
      <c r="F40" s="298">
        <v>0</v>
      </c>
      <c r="G40" s="82">
        <f>+E40+F40</f>
        <v>100000</v>
      </c>
      <c r="H40" s="73"/>
      <c r="I40" s="73"/>
      <c r="J40" s="73"/>
      <c r="K40" s="73">
        <v>15000</v>
      </c>
      <c r="L40" s="73"/>
      <c r="M40" s="73"/>
      <c r="N40" s="73"/>
      <c r="O40" s="73">
        <v>10000</v>
      </c>
      <c r="P40" s="73">
        <v>12500</v>
      </c>
      <c r="Q40" s="73">
        <v>12500</v>
      </c>
      <c r="R40" s="73"/>
      <c r="S40" s="74">
        <f>SUM(H40:R40)</f>
        <v>50000</v>
      </c>
      <c r="T40" s="73"/>
      <c r="U40" s="73"/>
      <c r="V40" s="73">
        <v>12500</v>
      </c>
      <c r="W40" s="73">
        <v>12500</v>
      </c>
      <c r="X40" s="73">
        <v>12500</v>
      </c>
      <c r="Y40" s="73">
        <v>12500</v>
      </c>
      <c r="Z40" s="73"/>
      <c r="AA40" s="73"/>
      <c r="AB40" s="73"/>
      <c r="AC40" s="73"/>
      <c r="AD40" s="73"/>
      <c r="AE40" s="74">
        <f>SUM(T40:AD40)</f>
        <v>50000</v>
      </c>
      <c r="AF40" s="24" t="s">
        <v>303</v>
      </c>
    </row>
    <row r="41" spans="1:32" s="4" customFormat="1" ht="96" customHeight="1" x14ac:dyDescent="0.3">
      <c r="A41" s="1076"/>
      <c r="B41" s="1158"/>
      <c r="C41" s="1136"/>
      <c r="D41" s="305" t="s">
        <v>326</v>
      </c>
      <c r="E41" s="298">
        <f>+S41+AE41</f>
        <v>780000</v>
      </c>
      <c r="F41" s="298">
        <v>0</v>
      </c>
      <c r="G41" s="82">
        <f>+E41+F41</f>
        <v>780000</v>
      </c>
      <c r="H41" s="73"/>
      <c r="I41" s="73"/>
      <c r="J41" s="73"/>
      <c r="K41" s="569">
        <v>20000</v>
      </c>
      <c r="L41" s="569">
        <v>25000</v>
      </c>
      <c r="M41" s="73"/>
      <c r="N41" s="569"/>
      <c r="O41" s="73">
        <v>30000</v>
      </c>
      <c r="P41" s="73">
        <v>75000</v>
      </c>
      <c r="Q41" s="73">
        <v>75000</v>
      </c>
      <c r="R41" s="73">
        <v>75000</v>
      </c>
      <c r="S41" s="74">
        <f>SUM(H41:R41)</f>
        <v>300000</v>
      </c>
      <c r="T41" s="73"/>
      <c r="U41" s="73">
        <v>75000</v>
      </c>
      <c r="V41" s="73">
        <v>75000</v>
      </c>
      <c r="W41" s="73">
        <v>50000</v>
      </c>
      <c r="X41" s="73">
        <v>50000</v>
      </c>
      <c r="Y41" s="73">
        <v>50000</v>
      </c>
      <c r="Z41" s="73">
        <v>50000</v>
      </c>
      <c r="AA41" s="73">
        <v>50000</v>
      </c>
      <c r="AB41" s="73">
        <v>50000</v>
      </c>
      <c r="AC41" s="73">
        <v>30000</v>
      </c>
      <c r="AD41" s="73"/>
      <c r="AE41" s="74">
        <f>SUM(T41:AD41)</f>
        <v>480000</v>
      </c>
      <c r="AF41" s="312" t="s">
        <v>327</v>
      </c>
    </row>
    <row r="42" spans="1:32" ht="90.6" customHeight="1" x14ac:dyDescent="0.3">
      <c r="A42" s="1076"/>
      <c r="B42" s="1159"/>
      <c r="C42" s="1137"/>
      <c r="D42" s="293" t="s">
        <v>299</v>
      </c>
      <c r="E42" s="298">
        <f>+S42+AE42</f>
        <v>180000</v>
      </c>
      <c r="F42" s="298">
        <v>0</v>
      </c>
      <c r="G42" s="82">
        <f>+E42+F42</f>
        <v>180000</v>
      </c>
      <c r="H42" s="73"/>
      <c r="I42" s="73"/>
      <c r="J42" s="73"/>
      <c r="K42" s="569"/>
      <c r="L42" s="569">
        <v>100000</v>
      </c>
      <c r="M42" s="73"/>
      <c r="N42" s="569"/>
      <c r="O42" s="73"/>
      <c r="P42" s="73"/>
      <c r="Q42" s="73"/>
      <c r="R42" s="73"/>
      <c r="S42" s="74">
        <f>SUM(H42:R42)</f>
        <v>100000</v>
      </c>
      <c r="T42" s="73"/>
      <c r="U42" s="73"/>
      <c r="V42" s="73"/>
      <c r="W42" s="73"/>
      <c r="X42" s="73">
        <v>34000</v>
      </c>
      <c r="Y42" s="73"/>
      <c r="Z42" s="73">
        <v>20000</v>
      </c>
      <c r="AA42" s="73"/>
      <c r="AB42" s="73">
        <v>26000</v>
      </c>
      <c r="AC42" s="73"/>
      <c r="AD42" s="73"/>
      <c r="AE42" s="74">
        <f>SUM(T42:AD42)</f>
        <v>80000</v>
      </c>
      <c r="AF42" s="24" t="s">
        <v>233</v>
      </c>
    </row>
    <row r="43" spans="1:32" s="67" customFormat="1" ht="15.75" customHeight="1" x14ac:dyDescent="0.3">
      <c r="A43" s="1076"/>
      <c r="B43" s="1157" t="s">
        <v>4</v>
      </c>
      <c r="C43" s="1135" t="s">
        <v>762</v>
      </c>
      <c r="D43" s="426"/>
      <c r="E43" s="207">
        <f t="shared" ref="E43:AE43" si="14">SUM(E44:E45)</f>
        <v>0</v>
      </c>
      <c r="F43" s="207">
        <f t="shared" si="14"/>
        <v>1763283.8199999998</v>
      </c>
      <c r="G43" s="207">
        <f t="shared" si="14"/>
        <v>1763283.8199999998</v>
      </c>
      <c r="H43" s="207">
        <f t="shared" si="14"/>
        <v>0</v>
      </c>
      <c r="I43" s="207">
        <f t="shared" si="14"/>
        <v>0</v>
      </c>
      <c r="J43" s="207">
        <f t="shared" si="14"/>
        <v>0</v>
      </c>
      <c r="K43" s="207">
        <f t="shared" si="14"/>
        <v>0</v>
      </c>
      <c r="L43" s="207">
        <f t="shared" si="14"/>
        <v>0</v>
      </c>
      <c r="M43" s="207">
        <f t="shared" si="14"/>
        <v>0</v>
      </c>
      <c r="N43" s="207">
        <f t="shared" si="14"/>
        <v>0</v>
      </c>
      <c r="O43" s="207">
        <f t="shared" si="14"/>
        <v>250000</v>
      </c>
      <c r="P43" s="207">
        <f t="shared" si="14"/>
        <v>0</v>
      </c>
      <c r="Q43" s="207">
        <f t="shared" si="14"/>
        <v>0</v>
      </c>
      <c r="R43" s="207">
        <f t="shared" si="14"/>
        <v>0</v>
      </c>
      <c r="S43" s="207">
        <f t="shared" si="14"/>
        <v>250000</v>
      </c>
      <c r="T43" s="207">
        <f t="shared" si="14"/>
        <v>0</v>
      </c>
      <c r="U43" s="207">
        <f t="shared" si="14"/>
        <v>892033.82</v>
      </c>
      <c r="V43" s="207">
        <f t="shared" si="14"/>
        <v>0</v>
      </c>
      <c r="W43" s="207">
        <f t="shared" si="14"/>
        <v>621250</v>
      </c>
      <c r="X43" s="207">
        <f t="shared" si="14"/>
        <v>0</v>
      </c>
      <c r="Y43" s="207">
        <f t="shared" si="14"/>
        <v>0</v>
      </c>
      <c r="Z43" s="207">
        <f t="shared" si="14"/>
        <v>0</v>
      </c>
      <c r="AA43" s="207">
        <f t="shared" si="14"/>
        <v>0</v>
      </c>
      <c r="AB43" s="207">
        <f t="shared" si="14"/>
        <v>0</v>
      </c>
      <c r="AC43" s="207">
        <f t="shared" si="14"/>
        <v>0</v>
      </c>
      <c r="AD43" s="207">
        <f t="shared" si="14"/>
        <v>0</v>
      </c>
      <c r="AE43" s="207">
        <f t="shared" si="14"/>
        <v>1513283.8199999998</v>
      </c>
      <c r="AF43" s="72"/>
    </row>
    <row r="44" spans="1:32" s="333" customFormat="1" ht="57" customHeight="1" x14ac:dyDescent="0.3">
      <c r="A44" s="1076"/>
      <c r="B44" s="1158"/>
      <c r="C44" s="1136"/>
      <c r="D44" s="722" t="s">
        <v>761</v>
      </c>
      <c r="E44" s="735"/>
      <c r="F44" s="735">
        <f>+S44+AE44</f>
        <v>642033.81999999995</v>
      </c>
      <c r="G44" s="83">
        <f>+E44+F44</f>
        <v>642033.81999999995</v>
      </c>
      <c r="H44" s="61"/>
      <c r="I44" s="61"/>
      <c r="J44" s="61"/>
      <c r="K44" s="61"/>
      <c r="L44" s="61"/>
      <c r="M44" s="61"/>
      <c r="N44" s="61"/>
      <c r="O44" s="61"/>
      <c r="P44" s="61"/>
      <c r="Q44" s="61"/>
      <c r="R44" s="61"/>
      <c r="S44" s="236">
        <f t="shared" ref="S44:S49" si="15">SUM(H44:R44)</f>
        <v>0</v>
      </c>
      <c r="T44" s="61"/>
      <c r="U44" s="61">
        <v>642033.81999999995</v>
      </c>
      <c r="V44" s="61"/>
      <c r="W44" s="61"/>
      <c r="X44" s="61"/>
      <c r="Y44" s="61"/>
      <c r="Z44" s="61"/>
      <c r="AA44" s="61"/>
      <c r="AB44" s="61"/>
      <c r="AC44" s="61"/>
      <c r="AD44" s="61"/>
      <c r="AE44" s="236">
        <f t="shared" ref="AE44:AE49" si="16">SUM(T44:AD44)</f>
        <v>642033.81999999995</v>
      </c>
      <c r="AF44" s="312" t="s">
        <v>327</v>
      </c>
    </row>
    <row r="45" spans="1:32" s="4" customFormat="1" ht="78" customHeight="1" x14ac:dyDescent="0.3">
      <c r="A45" s="1076"/>
      <c r="B45" s="1158"/>
      <c r="C45" s="1137"/>
      <c r="D45" s="295" t="s">
        <v>304</v>
      </c>
      <c r="E45" s="734"/>
      <c r="F45" s="298">
        <f>+S45+AE45</f>
        <v>1121250</v>
      </c>
      <c r="G45" s="82">
        <f>+E45+F45</f>
        <v>1121250</v>
      </c>
      <c r="H45" s="73"/>
      <c r="I45" s="73"/>
      <c r="J45" s="73"/>
      <c r="K45" s="73"/>
      <c r="L45" s="73"/>
      <c r="M45" s="73"/>
      <c r="N45" s="73"/>
      <c r="O45" s="73">
        <v>250000</v>
      </c>
      <c r="P45" s="73"/>
      <c r="Q45" s="73"/>
      <c r="R45" s="73"/>
      <c r="S45" s="74">
        <f t="shared" si="15"/>
        <v>250000</v>
      </c>
      <c r="T45" s="73"/>
      <c r="U45" s="73">
        <v>250000</v>
      </c>
      <c r="V45" s="73"/>
      <c r="W45" s="73">
        <v>621250</v>
      </c>
      <c r="X45" s="73"/>
      <c r="Y45" s="73"/>
      <c r="Z45" s="73"/>
      <c r="AA45" s="73"/>
      <c r="AB45" s="73"/>
      <c r="AC45" s="73"/>
      <c r="AD45" s="73"/>
      <c r="AE45" s="74">
        <f t="shared" si="16"/>
        <v>871250</v>
      </c>
      <c r="AF45" s="24" t="s">
        <v>233</v>
      </c>
    </row>
    <row r="46" spans="1:32" ht="15.75" customHeight="1" x14ac:dyDescent="0.3">
      <c r="A46" s="1076"/>
      <c r="B46" s="1227" t="s">
        <v>8</v>
      </c>
      <c r="C46" s="1228" t="s">
        <v>306</v>
      </c>
      <c r="D46" s="426"/>
      <c r="E46" s="207">
        <f t="shared" ref="E46:AE46" si="17">SUM(E47:E49)</f>
        <v>101000</v>
      </c>
      <c r="F46" s="207">
        <f t="shared" si="17"/>
        <v>0</v>
      </c>
      <c r="G46" s="207">
        <f t="shared" si="17"/>
        <v>101000</v>
      </c>
      <c r="H46" s="207">
        <f t="shared" si="17"/>
        <v>0</v>
      </c>
      <c r="I46" s="207">
        <f t="shared" si="17"/>
        <v>0</v>
      </c>
      <c r="J46" s="207">
        <f t="shared" si="17"/>
        <v>0</v>
      </c>
      <c r="K46" s="207">
        <f t="shared" si="17"/>
        <v>0</v>
      </c>
      <c r="L46" s="207">
        <f t="shared" si="17"/>
        <v>0</v>
      </c>
      <c r="M46" s="207">
        <f t="shared" si="17"/>
        <v>0</v>
      </c>
      <c r="N46" s="207">
        <f t="shared" si="17"/>
        <v>76000</v>
      </c>
      <c r="O46" s="207">
        <f t="shared" si="17"/>
        <v>0</v>
      </c>
      <c r="P46" s="207">
        <f t="shared" si="17"/>
        <v>0</v>
      </c>
      <c r="Q46" s="207">
        <f t="shared" si="17"/>
        <v>0</v>
      </c>
      <c r="R46" s="207">
        <f t="shared" si="17"/>
        <v>0</v>
      </c>
      <c r="S46" s="207">
        <f t="shared" si="17"/>
        <v>76000</v>
      </c>
      <c r="T46" s="207">
        <f t="shared" si="17"/>
        <v>0</v>
      </c>
      <c r="U46" s="207">
        <f t="shared" si="17"/>
        <v>0</v>
      </c>
      <c r="V46" s="207">
        <f t="shared" si="17"/>
        <v>25000</v>
      </c>
      <c r="W46" s="207">
        <f t="shared" si="17"/>
        <v>0</v>
      </c>
      <c r="X46" s="207">
        <f t="shared" si="17"/>
        <v>0</v>
      </c>
      <c r="Y46" s="207">
        <f t="shared" si="17"/>
        <v>0</v>
      </c>
      <c r="Z46" s="207">
        <f t="shared" si="17"/>
        <v>0</v>
      </c>
      <c r="AA46" s="207">
        <f t="shared" si="17"/>
        <v>0</v>
      </c>
      <c r="AB46" s="207">
        <f t="shared" si="17"/>
        <v>0</v>
      </c>
      <c r="AC46" s="207">
        <f t="shared" si="17"/>
        <v>0</v>
      </c>
      <c r="AD46" s="207">
        <f t="shared" si="17"/>
        <v>0</v>
      </c>
      <c r="AE46" s="207">
        <f t="shared" si="17"/>
        <v>25000</v>
      </c>
      <c r="AF46" s="53"/>
    </row>
    <row r="47" spans="1:32" ht="175.2" customHeight="1" x14ac:dyDescent="0.3">
      <c r="A47" s="1076"/>
      <c r="B47" s="1227"/>
      <c r="C47" s="1228"/>
      <c r="D47" s="293" t="s">
        <v>305</v>
      </c>
      <c r="E47" s="298">
        <f>+S47+AE47</f>
        <v>50000</v>
      </c>
      <c r="F47" s="298">
        <v>0</v>
      </c>
      <c r="G47" s="82">
        <f>+E47+F47</f>
        <v>50000</v>
      </c>
      <c r="H47" s="73"/>
      <c r="I47" s="73"/>
      <c r="J47" s="73"/>
      <c r="K47" s="73"/>
      <c r="L47" s="73"/>
      <c r="M47" s="73"/>
      <c r="N47" s="569">
        <v>25000</v>
      </c>
      <c r="O47" s="73"/>
      <c r="P47" s="73"/>
      <c r="Q47" s="73"/>
      <c r="R47" s="73"/>
      <c r="S47" s="74">
        <f t="shared" si="15"/>
        <v>25000</v>
      </c>
      <c r="T47" s="73"/>
      <c r="U47" s="73"/>
      <c r="V47" s="73">
        <v>25000</v>
      </c>
      <c r="W47" s="73"/>
      <c r="X47" s="73"/>
      <c r="Y47" s="73"/>
      <c r="Z47" s="73"/>
      <c r="AA47" s="73"/>
      <c r="AB47" s="73"/>
      <c r="AC47" s="73"/>
      <c r="AD47" s="73"/>
      <c r="AE47" s="74">
        <f t="shared" si="16"/>
        <v>25000</v>
      </c>
      <c r="AF47" s="24" t="s">
        <v>303</v>
      </c>
    </row>
    <row r="48" spans="1:32" s="4" customFormat="1" ht="46.95" customHeight="1" x14ac:dyDescent="0.3">
      <c r="A48" s="1076"/>
      <c r="B48" s="1227"/>
      <c r="C48" s="1228"/>
      <c r="D48" s="295" t="s">
        <v>315</v>
      </c>
      <c r="E48" s="298">
        <f>+S48+AE48</f>
        <v>26500</v>
      </c>
      <c r="F48" s="298">
        <v>0</v>
      </c>
      <c r="G48" s="82">
        <f>+E48+F48</f>
        <v>26500</v>
      </c>
      <c r="H48" s="73"/>
      <c r="I48" s="73"/>
      <c r="J48" s="73"/>
      <c r="K48" s="73"/>
      <c r="L48" s="73"/>
      <c r="M48" s="73"/>
      <c r="N48" s="569">
        <v>26500</v>
      </c>
      <c r="O48" s="73"/>
      <c r="P48" s="73"/>
      <c r="Q48" s="73"/>
      <c r="R48" s="73"/>
      <c r="S48" s="74">
        <f t="shared" si="15"/>
        <v>26500</v>
      </c>
      <c r="T48" s="73"/>
      <c r="U48" s="73"/>
      <c r="V48" s="73"/>
      <c r="W48" s="73"/>
      <c r="X48" s="73"/>
      <c r="Y48" s="73"/>
      <c r="Z48" s="73"/>
      <c r="AA48" s="73"/>
      <c r="AB48" s="73"/>
      <c r="AC48" s="73"/>
      <c r="AD48" s="73"/>
      <c r="AE48" s="74">
        <f t="shared" si="16"/>
        <v>0</v>
      </c>
      <c r="AF48" s="24" t="s">
        <v>303</v>
      </c>
    </row>
    <row r="49" spans="1:32" s="4" customFormat="1" ht="100.8" x14ac:dyDescent="0.3">
      <c r="A49" s="1076"/>
      <c r="B49" s="1227"/>
      <c r="C49" s="1228"/>
      <c r="D49" s="382" t="s">
        <v>316</v>
      </c>
      <c r="E49" s="298">
        <f>+S49+AE49</f>
        <v>24500</v>
      </c>
      <c r="F49" s="298">
        <v>0</v>
      </c>
      <c r="G49" s="82">
        <f>+E49+F49</f>
        <v>24500</v>
      </c>
      <c r="H49" s="73"/>
      <c r="I49" s="73"/>
      <c r="J49" s="73"/>
      <c r="K49" s="73"/>
      <c r="L49" s="73"/>
      <c r="N49" s="569">
        <v>24500</v>
      </c>
      <c r="O49" s="73"/>
      <c r="P49" s="73"/>
      <c r="Q49" s="73"/>
      <c r="R49" s="73"/>
      <c r="S49" s="74">
        <f t="shared" si="15"/>
        <v>24500</v>
      </c>
      <c r="T49" s="73"/>
      <c r="U49" s="73"/>
      <c r="V49" s="73"/>
      <c r="W49" s="73"/>
      <c r="X49" s="73"/>
      <c r="Y49" s="73"/>
      <c r="Z49" s="73"/>
      <c r="AA49" s="73"/>
      <c r="AB49" s="73"/>
      <c r="AC49" s="73"/>
      <c r="AD49" s="73"/>
      <c r="AE49" s="74">
        <f t="shared" si="16"/>
        <v>0</v>
      </c>
      <c r="AF49" s="24" t="s">
        <v>303</v>
      </c>
    </row>
    <row r="50" spans="1:32" ht="34.5" customHeight="1" x14ac:dyDescent="0.3">
      <c r="A50" s="1237" t="s">
        <v>106</v>
      </c>
      <c r="B50" s="1238"/>
      <c r="C50" s="1238"/>
      <c r="D50" s="1238"/>
      <c r="E50" s="1238"/>
      <c r="F50" s="1238"/>
      <c r="G50" s="1239"/>
      <c r="H50" s="212"/>
      <c r="I50" s="212"/>
      <c r="J50" s="212"/>
      <c r="K50" s="212"/>
      <c r="L50" s="212"/>
      <c r="M50" s="212"/>
      <c r="N50" s="212"/>
      <c r="O50" s="212"/>
      <c r="P50" s="212"/>
      <c r="Q50" s="212"/>
      <c r="R50" s="212"/>
      <c r="S50" s="213"/>
      <c r="T50" s="212"/>
      <c r="U50" s="212"/>
      <c r="V50" s="212"/>
      <c r="W50" s="212"/>
      <c r="X50" s="212"/>
      <c r="Y50" s="212"/>
      <c r="Z50" s="212"/>
      <c r="AA50" s="212"/>
      <c r="AB50" s="212"/>
      <c r="AC50" s="212"/>
      <c r="AD50" s="212"/>
      <c r="AE50" s="213"/>
      <c r="AF50" s="306"/>
    </row>
    <row r="51" spans="1:32" ht="37.5" customHeight="1" x14ac:dyDescent="0.3">
      <c r="A51" s="1194" t="s">
        <v>107</v>
      </c>
      <c r="B51" s="1195"/>
      <c r="C51" s="1195"/>
      <c r="D51" s="1195"/>
      <c r="E51" s="1195"/>
      <c r="F51" s="1195"/>
      <c r="G51" s="1196"/>
      <c r="H51" s="69"/>
      <c r="I51" s="69"/>
      <c r="J51" s="69"/>
      <c r="K51" s="69"/>
      <c r="L51" s="69"/>
      <c r="M51" s="69"/>
      <c r="N51" s="69"/>
      <c r="O51" s="69"/>
      <c r="P51" s="69"/>
      <c r="Q51" s="69"/>
      <c r="R51" s="69"/>
      <c r="S51" s="69"/>
      <c r="T51" s="69"/>
      <c r="U51" s="69"/>
      <c r="V51" s="69"/>
      <c r="W51" s="69"/>
      <c r="X51" s="69"/>
      <c r="Y51" s="69"/>
      <c r="Z51" s="69"/>
      <c r="AA51" s="69"/>
      <c r="AB51" s="69"/>
      <c r="AC51" s="69"/>
      <c r="AD51" s="69"/>
      <c r="AE51" s="69"/>
      <c r="AF51" s="20"/>
    </row>
    <row r="52" spans="1:32" ht="20.25" customHeight="1" x14ac:dyDescent="0.3">
      <c r="A52" s="1114" t="s">
        <v>724</v>
      </c>
      <c r="B52" s="701"/>
      <c r="C52" s="702"/>
      <c r="D52" s="703"/>
      <c r="E52" s="267">
        <f t="shared" ref="E52:AE52" si="18">+E53</f>
        <v>0</v>
      </c>
      <c r="F52" s="267">
        <f t="shared" si="18"/>
        <v>550000</v>
      </c>
      <c r="G52" s="267">
        <f t="shared" si="18"/>
        <v>550000</v>
      </c>
      <c r="H52" s="267">
        <f t="shared" si="18"/>
        <v>0</v>
      </c>
      <c r="I52" s="267">
        <f t="shared" si="18"/>
        <v>0</v>
      </c>
      <c r="J52" s="267">
        <f t="shared" si="18"/>
        <v>0</v>
      </c>
      <c r="K52" s="267">
        <f t="shared" si="18"/>
        <v>550000</v>
      </c>
      <c r="L52" s="267">
        <f t="shared" si="18"/>
        <v>0</v>
      </c>
      <c r="M52" s="267">
        <f t="shared" si="18"/>
        <v>0</v>
      </c>
      <c r="N52" s="267">
        <f t="shared" si="18"/>
        <v>0</v>
      </c>
      <c r="O52" s="267">
        <f t="shared" si="18"/>
        <v>0</v>
      </c>
      <c r="P52" s="267">
        <f t="shared" si="18"/>
        <v>0</v>
      </c>
      <c r="Q52" s="267">
        <f t="shared" si="18"/>
        <v>0</v>
      </c>
      <c r="R52" s="267">
        <f t="shared" si="18"/>
        <v>0</v>
      </c>
      <c r="S52" s="267">
        <f t="shared" si="18"/>
        <v>550000</v>
      </c>
      <c r="T52" s="267">
        <f t="shared" si="18"/>
        <v>0</v>
      </c>
      <c r="U52" s="267">
        <f t="shared" si="18"/>
        <v>0</v>
      </c>
      <c r="V52" s="267">
        <f t="shared" si="18"/>
        <v>0</v>
      </c>
      <c r="W52" s="267">
        <f t="shared" si="18"/>
        <v>0</v>
      </c>
      <c r="X52" s="267">
        <f t="shared" si="18"/>
        <v>0</v>
      </c>
      <c r="Y52" s="267">
        <f t="shared" si="18"/>
        <v>0</v>
      </c>
      <c r="Z52" s="267">
        <f t="shared" si="18"/>
        <v>0</v>
      </c>
      <c r="AA52" s="267">
        <f t="shared" si="18"/>
        <v>0</v>
      </c>
      <c r="AB52" s="267">
        <f t="shared" si="18"/>
        <v>0</v>
      </c>
      <c r="AC52" s="267">
        <f t="shared" si="18"/>
        <v>0</v>
      </c>
      <c r="AD52" s="267">
        <f t="shared" si="18"/>
        <v>0</v>
      </c>
      <c r="AE52" s="267">
        <f t="shared" si="18"/>
        <v>0</v>
      </c>
      <c r="AF52" s="267">
        <f>+AF53+AF55</f>
        <v>0</v>
      </c>
    </row>
    <row r="53" spans="1:32" ht="27" customHeight="1" x14ac:dyDescent="0.3">
      <c r="A53" s="1116"/>
      <c r="B53" s="1242" t="s">
        <v>2</v>
      </c>
      <c r="C53" s="1246" t="s">
        <v>725</v>
      </c>
      <c r="D53" s="704"/>
      <c r="E53" s="207">
        <f>SUM(E54)</f>
        <v>0</v>
      </c>
      <c r="F53" s="207">
        <f t="shared" ref="F53:AE53" si="19">SUM(F54)</f>
        <v>550000</v>
      </c>
      <c r="G53" s="207">
        <f t="shared" si="19"/>
        <v>550000</v>
      </c>
      <c r="H53" s="207">
        <f t="shared" si="19"/>
        <v>0</v>
      </c>
      <c r="I53" s="207">
        <f t="shared" si="19"/>
        <v>0</v>
      </c>
      <c r="J53" s="207">
        <f t="shared" si="19"/>
        <v>0</v>
      </c>
      <c r="K53" s="207">
        <f>SUM(K54)</f>
        <v>550000</v>
      </c>
      <c r="L53" s="207">
        <f t="shared" si="19"/>
        <v>0</v>
      </c>
      <c r="M53" s="207">
        <f t="shared" si="19"/>
        <v>0</v>
      </c>
      <c r="N53" s="207">
        <f t="shared" si="19"/>
        <v>0</v>
      </c>
      <c r="O53" s="207">
        <f t="shared" si="19"/>
        <v>0</v>
      </c>
      <c r="P53" s="207">
        <f t="shared" si="19"/>
        <v>0</v>
      </c>
      <c r="Q53" s="207">
        <f t="shared" si="19"/>
        <v>0</v>
      </c>
      <c r="R53" s="207">
        <f t="shared" si="19"/>
        <v>0</v>
      </c>
      <c r="S53" s="207">
        <f t="shared" si="19"/>
        <v>550000</v>
      </c>
      <c r="T53" s="207">
        <f t="shared" si="19"/>
        <v>0</v>
      </c>
      <c r="U53" s="207">
        <f t="shared" si="19"/>
        <v>0</v>
      </c>
      <c r="V53" s="207">
        <f t="shared" si="19"/>
        <v>0</v>
      </c>
      <c r="W53" s="207">
        <f t="shared" si="19"/>
        <v>0</v>
      </c>
      <c r="X53" s="207">
        <f t="shared" si="19"/>
        <v>0</v>
      </c>
      <c r="Y53" s="207">
        <f t="shared" si="19"/>
        <v>0</v>
      </c>
      <c r="Z53" s="207">
        <f t="shared" si="19"/>
        <v>0</v>
      </c>
      <c r="AA53" s="207">
        <f t="shared" si="19"/>
        <v>0</v>
      </c>
      <c r="AB53" s="207">
        <f t="shared" si="19"/>
        <v>0</v>
      </c>
      <c r="AC53" s="207">
        <f t="shared" si="19"/>
        <v>0</v>
      </c>
      <c r="AD53" s="207">
        <f t="shared" si="19"/>
        <v>0</v>
      </c>
      <c r="AE53" s="207">
        <f t="shared" si="19"/>
        <v>0</v>
      </c>
      <c r="AF53" s="53"/>
    </row>
    <row r="54" spans="1:32" s="4" customFormat="1" ht="155.25" customHeight="1" x14ac:dyDescent="0.3">
      <c r="A54" s="1115"/>
      <c r="B54" s="1242"/>
      <c r="C54" s="1248"/>
      <c r="D54" s="705" t="s">
        <v>726</v>
      </c>
      <c r="E54" s="23">
        <v>0</v>
      </c>
      <c r="F54" s="23">
        <f>+S54</f>
        <v>550000</v>
      </c>
      <c r="G54" s="82">
        <f>+E54+F54</f>
        <v>550000</v>
      </c>
      <c r="H54" s="73"/>
      <c r="I54" s="73"/>
      <c r="J54" s="73"/>
      <c r="K54" s="714">
        <v>550000</v>
      </c>
      <c r="L54" s="73"/>
      <c r="M54" s="73"/>
      <c r="N54" s="569">
        <v>0</v>
      </c>
      <c r="O54" s="73">
        <v>0</v>
      </c>
      <c r="P54" s="73">
        <v>0</v>
      </c>
      <c r="Q54" s="73">
        <v>0</v>
      </c>
      <c r="R54" s="73"/>
      <c r="S54" s="643">
        <f>SUM(H54:R54)</f>
        <v>550000</v>
      </c>
      <c r="T54" s="73"/>
      <c r="U54" s="73"/>
      <c r="V54" s="73"/>
      <c r="W54" s="73"/>
      <c r="X54" s="73"/>
      <c r="Y54" s="73"/>
      <c r="Z54" s="73"/>
      <c r="AA54" s="73"/>
      <c r="AB54" s="73"/>
      <c r="AC54" s="73"/>
      <c r="AD54" s="73"/>
      <c r="AE54" s="74">
        <f>SUM(T54:AD54)</f>
        <v>0</v>
      </c>
      <c r="AF54" s="24" t="s">
        <v>232</v>
      </c>
    </row>
    <row r="55" spans="1:32" ht="27.75" customHeight="1" x14ac:dyDescent="0.3">
      <c r="A55" s="1075" t="s">
        <v>108</v>
      </c>
      <c r="B55" s="266"/>
      <c r="C55" s="301"/>
      <c r="D55" s="291"/>
      <c r="E55" s="267">
        <f>+E56+E58</f>
        <v>135000</v>
      </c>
      <c r="F55" s="267">
        <f t="shared" ref="F55:AF55" si="20">+F56+F58</f>
        <v>1483200</v>
      </c>
      <c r="G55" s="267">
        <f t="shared" si="20"/>
        <v>1618200</v>
      </c>
      <c r="H55" s="267">
        <f t="shared" si="20"/>
        <v>0</v>
      </c>
      <c r="I55" s="267">
        <f t="shared" si="20"/>
        <v>0</v>
      </c>
      <c r="J55" s="267">
        <f t="shared" si="20"/>
        <v>0</v>
      </c>
      <c r="K55" s="267">
        <f t="shared" si="20"/>
        <v>500000</v>
      </c>
      <c r="L55" s="267">
        <f t="shared" si="20"/>
        <v>0</v>
      </c>
      <c r="M55" s="267">
        <f t="shared" si="20"/>
        <v>0</v>
      </c>
      <c r="N55" s="267">
        <f t="shared" si="20"/>
        <v>35000</v>
      </c>
      <c r="O55" s="267">
        <f t="shared" si="20"/>
        <v>529400</v>
      </c>
      <c r="P55" s="267">
        <f t="shared" si="20"/>
        <v>35000</v>
      </c>
      <c r="Q55" s="267">
        <f t="shared" si="20"/>
        <v>30000</v>
      </c>
      <c r="R55" s="267">
        <f t="shared" si="20"/>
        <v>0</v>
      </c>
      <c r="S55" s="267">
        <f t="shared" si="20"/>
        <v>1129400</v>
      </c>
      <c r="T55" s="267">
        <f t="shared" si="20"/>
        <v>0</v>
      </c>
      <c r="U55" s="267">
        <f t="shared" si="20"/>
        <v>0</v>
      </c>
      <c r="V55" s="267">
        <f t="shared" si="20"/>
        <v>488800</v>
      </c>
      <c r="W55" s="267">
        <f t="shared" si="20"/>
        <v>0</v>
      </c>
      <c r="X55" s="267">
        <f t="shared" si="20"/>
        <v>0</v>
      </c>
      <c r="Y55" s="267">
        <f t="shared" si="20"/>
        <v>0</v>
      </c>
      <c r="Z55" s="267">
        <f t="shared" si="20"/>
        <v>0</v>
      </c>
      <c r="AA55" s="267">
        <f t="shared" si="20"/>
        <v>0</v>
      </c>
      <c r="AB55" s="267">
        <f t="shared" si="20"/>
        <v>0</v>
      </c>
      <c r="AC55" s="267">
        <f t="shared" si="20"/>
        <v>0</v>
      </c>
      <c r="AD55" s="267">
        <f t="shared" si="20"/>
        <v>0</v>
      </c>
      <c r="AE55" s="267">
        <f t="shared" si="20"/>
        <v>488800</v>
      </c>
      <c r="AF55" s="267">
        <f t="shared" si="20"/>
        <v>0</v>
      </c>
    </row>
    <row r="56" spans="1:32" ht="32.25" customHeight="1" x14ac:dyDescent="0.3">
      <c r="A56" s="1076"/>
      <c r="B56" s="1240" t="s">
        <v>2</v>
      </c>
      <c r="C56" s="1199" t="s">
        <v>355</v>
      </c>
      <c r="D56" s="426"/>
      <c r="E56" s="207">
        <f>SUM(E57)</f>
        <v>135000</v>
      </c>
      <c r="F56" s="207">
        <f t="shared" ref="F56:K56" si="21">SUM(F57)</f>
        <v>0</v>
      </c>
      <c r="G56" s="207">
        <f t="shared" si="21"/>
        <v>135000</v>
      </c>
      <c r="H56" s="207">
        <f t="shared" si="21"/>
        <v>0</v>
      </c>
      <c r="I56" s="207">
        <f t="shared" si="21"/>
        <v>0</v>
      </c>
      <c r="J56" s="207">
        <f t="shared" si="21"/>
        <v>0</v>
      </c>
      <c r="K56" s="207">
        <f t="shared" si="21"/>
        <v>0</v>
      </c>
      <c r="L56" s="207">
        <f t="shared" ref="L56:AE56" si="22">SUM(L57)</f>
        <v>0</v>
      </c>
      <c r="M56" s="207">
        <f t="shared" si="22"/>
        <v>0</v>
      </c>
      <c r="N56" s="207">
        <f t="shared" si="22"/>
        <v>35000</v>
      </c>
      <c r="O56" s="207">
        <f t="shared" si="22"/>
        <v>35000</v>
      </c>
      <c r="P56" s="207">
        <f t="shared" si="22"/>
        <v>35000</v>
      </c>
      <c r="Q56" s="207">
        <f t="shared" si="22"/>
        <v>30000</v>
      </c>
      <c r="R56" s="207">
        <f t="shared" si="22"/>
        <v>0</v>
      </c>
      <c r="S56" s="207">
        <f t="shared" si="22"/>
        <v>135000</v>
      </c>
      <c r="T56" s="207">
        <f t="shared" si="22"/>
        <v>0</v>
      </c>
      <c r="U56" s="207">
        <f t="shared" si="22"/>
        <v>0</v>
      </c>
      <c r="V56" s="207">
        <f t="shared" si="22"/>
        <v>0</v>
      </c>
      <c r="W56" s="207">
        <f t="shared" si="22"/>
        <v>0</v>
      </c>
      <c r="X56" s="207">
        <f t="shared" si="22"/>
        <v>0</v>
      </c>
      <c r="Y56" s="207">
        <f t="shared" si="22"/>
        <v>0</v>
      </c>
      <c r="Z56" s="207">
        <f t="shared" si="22"/>
        <v>0</v>
      </c>
      <c r="AA56" s="207">
        <f t="shared" si="22"/>
        <v>0</v>
      </c>
      <c r="AB56" s="207">
        <f t="shared" si="22"/>
        <v>0</v>
      </c>
      <c r="AC56" s="207">
        <f t="shared" si="22"/>
        <v>0</v>
      </c>
      <c r="AD56" s="207">
        <f t="shared" si="22"/>
        <v>0</v>
      </c>
      <c r="AE56" s="207">
        <f t="shared" si="22"/>
        <v>0</v>
      </c>
      <c r="AF56" s="53"/>
    </row>
    <row r="57" spans="1:32" s="4" customFormat="1" ht="142.19999999999999" customHeight="1" x14ac:dyDescent="0.3">
      <c r="A57" s="1076"/>
      <c r="B57" s="1240"/>
      <c r="C57" s="1201"/>
      <c r="D57" s="304" t="s">
        <v>307</v>
      </c>
      <c r="E57" s="23">
        <f>+S57+AE57</f>
        <v>135000</v>
      </c>
      <c r="F57" s="23">
        <v>0</v>
      </c>
      <c r="G57" s="82">
        <f>+E57+F57</f>
        <v>135000</v>
      </c>
      <c r="H57" s="73"/>
      <c r="I57" s="73"/>
      <c r="J57" s="73"/>
      <c r="K57" s="73"/>
      <c r="L57" s="73"/>
      <c r="M57" s="73"/>
      <c r="N57" s="569">
        <v>35000</v>
      </c>
      <c r="O57" s="73">
        <v>35000</v>
      </c>
      <c r="P57" s="73">
        <v>35000</v>
      </c>
      <c r="Q57" s="73">
        <v>30000</v>
      </c>
      <c r="R57" s="73"/>
      <c r="S57" s="74">
        <f>SUM(H57:R57)</f>
        <v>135000</v>
      </c>
      <c r="T57" s="73"/>
      <c r="U57" s="73"/>
      <c r="V57" s="73"/>
      <c r="W57" s="73"/>
      <c r="X57" s="73"/>
      <c r="Y57" s="73"/>
      <c r="Z57" s="73"/>
      <c r="AA57" s="73"/>
      <c r="AB57" s="73"/>
      <c r="AC57" s="73"/>
      <c r="AD57" s="73"/>
      <c r="AE57" s="74">
        <f>SUM(T57:AD57)</f>
        <v>0</v>
      </c>
      <c r="AF57" s="24" t="s">
        <v>232</v>
      </c>
    </row>
    <row r="58" spans="1:32" s="4" customFormat="1" ht="19.95" customHeight="1" x14ac:dyDescent="0.3">
      <c r="A58" s="1076"/>
      <c r="B58" s="1240" t="s">
        <v>3</v>
      </c>
      <c r="C58" s="1199" t="s">
        <v>356</v>
      </c>
      <c r="D58" s="426"/>
      <c r="E58" s="207">
        <f>SUM(E59)</f>
        <v>0</v>
      </c>
      <c r="F58" s="207">
        <f t="shared" ref="F58:AE58" si="23">SUM(F59)</f>
        <v>1483200</v>
      </c>
      <c r="G58" s="207">
        <f t="shared" si="23"/>
        <v>1483200</v>
      </c>
      <c r="H58" s="207">
        <f t="shared" ref="H58:R58" si="24">SUM(H59)</f>
        <v>0</v>
      </c>
      <c r="I58" s="207">
        <f t="shared" si="24"/>
        <v>0</v>
      </c>
      <c r="J58" s="207">
        <f t="shared" si="24"/>
        <v>0</v>
      </c>
      <c r="K58" s="207">
        <f t="shared" si="24"/>
        <v>500000</v>
      </c>
      <c r="L58" s="207">
        <f t="shared" si="24"/>
        <v>0</v>
      </c>
      <c r="M58" s="207">
        <f t="shared" si="24"/>
        <v>0</v>
      </c>
      <c r="N58" s="207">
        <f t="shared" si="24"/>
        <v>0</v>
      </c>
      <c r="O58" s="207">
        <f t="shared" si="24"/>
        <v>494400</v>
      </c>
      <c r="P58" s="207">
        <f t="shared" si="24"/>
        <v>0</v>
      </c>
      <c r="Q58" s="207">
        <f t="shared" si="24"/>
        <v>0</v>
      </c>
      <c r="R58" s="207">
        <f t="shared" si="24"/>
        <v>0</v>
      </c>
      <c r="S58" s="207">
        <f t="shared" si="23"/>
        <v>994400</v>
      </c>
      <c r="T58" s="207">
        <f t="shared" si="23"/>
        <v>0</v>
      </c>
      <c r="U58" s="207">
        <f t="shared" si="23"/>
        <v>0</v>
      </c>
      <c r="V58" s="207">
        <f t="shared" si="23"/>
        <v>488800</v>
      </c>
      <c r="W58" s="207">
        <f t="shared" si="23"/>
        <v>0</v>
      </c>
      <c r="X58" s="207">
        <f t="shared" si="23"/>
        <v>0</v>
      </c>
      <c r="Y58" s="207">
        <f t="shared" si="23"/>
        <v>0</v>
      </c>
      <c r="Z58" s="207">
        <f t="shared" si="23"/>
        <v>0</v>
      </c>
      <c r="AA58" s="207">
        <f t="shared" si="23"/>
        <v>0</v>
      </c>
      <c r="AB58" s="207">
        <f t="shared" si="23"/>
        <v>0</v>
      </c>
      <c r="AC58" s="207">
        <f t="shared" si="23"/>
        <v>0</v>
      </c>
      <c r="AD58" s="207">
        <f t="shared" si="23"/>
        <v>0</v>
      </c>
      <c r="AE58" s="207">
        <f t="shared" si="23"/>
        <v>488800</v>
      </c>
      <c r="AF58" s="24"/>
    </row>
    <row r="59" spans="1:32" s="4" customFormat="1" ht="105.75" customHeight="1" x14ac:dyDescent="0.3">
      <c r="A59" s="1077"/>
      <c r="B59" s="1240"/>
      <c r="C59" s="1201"/>
      <c r="D59" s="305" t="s">
        <v>357</v>
      </c>
      <c r="E59" s="23">
        <v>0</v>
      </c>
      <c r="F59" s="23">
        <f>+S59+AE59</f>
        <v>1483200</v>
      </c>
      <c r="G59" s="82">
        <f>+E59+F59</f>
        <v>1483200</v>
      </c>
      <c r="H59" s="73"/>
      <c r="I59" s="73"/>
      <c r="J59" s="73"/>
      <c r="K59" s="73">
        <v>500000</v>
      </c>
      <c r="L59" s="73"/>
      <c r="M59" s="73"/>
      <c r="O59" s="73">
        <v>494400</v>
      </c>
      <c r="P59" s="73"/>
      <c r="Q59" s="73"/>
      <c r="R59" s="73"/>
      <c r="S59" s="74">
        <f>SUM(H59:R59)</f>
        <v>994400</v>
      </c>
      <c r="T59" s="73"/>
      <c r="U59" s="73"/>
      <c r="V59" s="73">
        <v>488800</v>
      </c>
      <c r="W59" s="73"/>
      <c r="X59" s="73"/>
      <c r="Y59" s="73"/>
      <c r="Z59" s="73"/>
      <c r="AA59" s="73"/>
      <c r="AB59" s="73"/>
      <c r="AC59" s="73"/>
      <c r="AD59" s="73"/>
      <c r="AE59" s="74">
        <f>SUM(T59:AD59)</f>
        <v>488800</v>
      </c>
      <c r="AF59" s="24" t="s">
        <v>232</v>
      </c>
    </row>
    <row r="60" spans="1:32" ht="21" customHeight="1" x14ac:dyDescent="0.3">
      <c r="A60" s="1075" t="s">
        <v>731</v>
      </c>
      <c r="B60" s="266"/>
      <c r="C60" s="301"/>
      <c r="D60" s="291"/>
      <c r="E60" s="267">
        <f t="shared" ref="E60:AE60" si="25">+E61+E66+E69</f>
        <v>1625509.65</v>
      </c>
      <c r="F60" s="267">
        <f t="shared" si="25"/>
        <v>2468220</v>
      </c>
      <c r="G60" s="267">
        <f t="shared" si="25"/>
        <v>4093729.65</v>
      </c>
      <c r="H60" s="267">
        <f t="shared" si="25"/>
        <v>0</v>
      </c>
      <c r="I60" s="267">
        <f t="shared" si="25"/>
        <v>0</v>
      </c>
      <c r="J60" s="267">
        <f t="shared" si="25"/>
        <v>0</v>
      </c>
      <c r="K60" s="267">
        <f t="shared" si="25"/>
        <v>137000</v>
      </c>
      <c r="L60" s="267">
        <f t="shared" si="25"/>
        <v>22000</v>
      </c>
      <c r="M60" s="267">
        <f t="shared" si="25"/>
        <v>22000</v>
      </c>
      <c r="N60" s="267">
        <f t="shared" si="25"/>
        <v>172000</v>
      </c>
      <c r="O60" s="267">
        <f t="shared" si="25"/>
        <v>451000</v>
      </c>
      <c r="P60" s="267">
        <f t="shared" si="25"/>
        <v>177000</v>
      </c>
      <c r="Q60" s="267">
        <f t="shared" si="25"/>
        <v>122000</v>
      </c>
      <c r="R60" s="267">
        <f t="shared" si="25"/>
        <v>47000</v>
      </c>
      <c r="S60" s="267">
        <f t="shared" si="25"/>
        <v>1150000</v>
      </c>
      <c r="T60" s="267">
        <f t="shared" si="25"/>
        <v>22000</v>
      </c>
      <c r="U60" s="267">
        <f t="shared" si="25"/>
        <v>22000</v>
      </c>
      <c r="V60" s="267">
        <f t="shared" si="25"/>
        <v>93000</v>
      </c>
      <c r="W60" s="267">
        <f t="shared" si="25"/>
        <v>1812220</v>
      </c>
      <c r="X60" s="267">
        <f t="shared" si="25"/>
        <v>502000</v>
      </c>
      <c r="Y60" s="267">
        <f t="shared" si="25"/>
        <v>143000</v>
      </c>
      <c r="Z60" s="267">
        <f t="shared" si="25"/>
        <v>93000</v>
      </c>
      <c r="AA60" s="267">
        <f t="shared" si="25"/>
        <v>120509.65</v>
      </c>
      <c r="AB60" s="267">
        <f t="shared" si="25"/>
        <v>67000</v>
      </c>
      <c r="AC60" s="267">
        <f t="shared" si="25"/>
        <v>47000</v>
      </c>
      <c r="AD60" s="267">
        <f t="shared" si="25"/>
        <v>22000</v>
      </c>
      <c r="AE60" s="267">
        <f t="shared" si="25"/>
        <v>2943729.65</v>
      </c>
      <c r="AF60" s="266"/>
    </row>
    <row r="61" spans="1:32" x14ac:dyDescent="0.3">
      <c r="A61" s="1076"/>
      <c r="B61" s="1157" t="s">
        <v>2</v>
      </c>
      <c r="C61" s="1199" t="s">
        <v>735</v>
      </c>
      <c r="D61" s="426"/>
      <c r="E61" s="207">
        <f>SUM(E62:E65)</f>
        <v>1225509.6499999999</v>
      </c>
      <c r="F61" s="207">
        <f t="shared" ref="F61:AE61" si="26">SUM(F62:F65)</f>
        <v>0</v>
      </c>
      <c r="G61" s="207">
        <f>SUM(G62:G65)</f>
        <v>1225509.6499999999</v>
      </c>
      <c r="H61" s="207">
        <f t="shared" si="26"/>
        <v>0</v>
      </c>
      <c r="I61" s="207">
        <f t="shared" si="26"/>
        <v>0</v>
      </c>
      <c r="J61" s="207">
        <f t="shared" si="26"/>
        <v>0</v>
      </c>
      <c r="K61" s="207">
        <f t="shared" si="26"/>
        <v>11000</v>
      </c>
      <c r="L61" s="207">
        <f t="shared" si="26"/>
        <v>22000</v>
      </c>
      <c r="M61" s="207">
        <f t="shared" si="26"/>
        <v>22000</v>
      </c>
      <c r="N61" s="207">
        <f t="shared" si="26"/>
        <v>132000</v>
      </c>
      <c r="O61" s="207">
        <f t="shared" si="26"/>
        <v>92000</v>
      </c>
      <c r="P61" s="207">
        <f t="shared" si="26"/>
        <v>152000</v>
      </c>
      <c r="Q61" s="207">
        <f t="shared" si="26"/>
        <v>97000</v>
      </c>
      <c r="R61" s="207">
        <f t="shared" si="26"/>
        <v>22000</v>
      </c>
      <c r="S61" s="207">
        <f t="shared" si="26"/>
        <v>550000</v>
      </c>
      <c r="T61" s="207">
        <f t="shared" si="26"/>
        <v>22000</v>
      </c>
      <c r="U61" s="207">
        <f t="shared" si="26"/>
        <v>22000</v>
      </c>
      <c r="V61" s="207">
        <f t="shared" si="26"/>
        <v>68000</v>
      </c>
      <c r="W61" s="207">
        <f t="shared" si="26"/>
        <v>128000</v>
      </c>
      <c r="X61" s="207">
        <f t="shared" si="26"/>
        <v>68000</v>
      </c>
      <c r="Y61" s="207">
        <f t="shared" si="26"/>
        <v>118000</v>
      </c>
      <c r="Z61" s="207">
        <f t="shared" si="26"/>
        <v>68000</v>
      </c>
      <c r="AA61" s="207">
        <f t="shared" si="26"/>
        <v>95509.65</v>
      </c>
      <c r="AB61" s="207">
        <f t="shared" si="26"/>
        <v>42000</v>
      </c>
      <c r="AC61" s="207">
        <f t="shared" si="26"/>
        <v>22000</v>
      </c>
      <c r="AD61" s="207">
        <f t="shared" si="26"/>
        <v>22000</v>
      </c>
      <c r="AE61" s="207">
        <f t="shared" si="26"/>
        <v>675509.65</v>
      </c>
      <c r="AF61" s="53"/>
    </row>
    <row r="62" spans="1:32" s="4" customFormat="1" ht="68.400000000000006" customHeight="1" x14ac:dyDescent="0.3">
      <c r="A62" s="1076"/>
      <c r="B62" s="1158"/>
      <c r="C62" s="1200"/>
      <c r="D62" s="292" t="s">
        <v>733</v>
      </c>
      <c r="E62" s="254">
        <f>+S62+AE62</f>
        <v>407000</v>
      </c>
      <c r="F62" s="254">
        <v>0</v>
      </c>
      <c r="G62" s="255">
        <f>+E62+F62</f>
        <v>407000</v>
      </c>
      <c r="H62" s="73"/>
      <c r="I62" s="73"/>
      <c r="J62" s="73"/>
      <c r="K62" s="730">
        <v>11000</v>
      </c>
      <c r="L62" s="730">
        <v>22000</v>
      </c>
      <c r="M62" s="730">
        <v>22000</v>
      </c>
      <c r="N62" s="730">
        <v>22000</v>
      </c>
      <c r="O62" s="730">
        <v>22000</v>
      </c>
      <c r="P62" s="730">
        <v>22000</v>
      </c>
      <c r="Q62" s="730">
        <v>22000</v>
      </c>
      <c r="R62" s="730">
        <v>22000</v>
      </c>
      <c r="S62" s="74">
        <f>SUM(H62:R62)</f>
        <v>165000</v>
      </c>
      <c r="T62" s="730">
        <v>22000</v>
      </c>
      <c r="U62" s="730">
        <v>22000</v>
      </c>
      <c r="V62" s="730">
        <v>22000</v>
      </c>
      <c r="W62" s="730">
        <v>22000</v>
      </c>
      <c r="X62" s="730">
        <v>22000</v>
      </c>
      <c r="Y62" s="730">
        <v>22000</v>
      </c>
      <c r="Z62" s="730">
        <v>22000</v>
      </c>
      <c r="AA62" s="730">
        <v>22000</v>
      </c>
      <c r="AB62" s="730">
        <v>22000</v>
      </c>
      <c r="AC62" s="730">
        <v>22000</v>
      </c>
      <c r="AD62" s="730">
        <v>22000</v>
      </c>
      <c r="AE62" s="74">
        <f>SUM(T62:AD62)</f>
        <v>242000</v>
      </c>
      <c r="AF62" s="24" t="s">
        <v>185</v>
      </c>
    </row>
    <row r="63" spans="1:32" s="4" customFormat="1" ht="121.95" customHeight="1" x14ac:dyDescent="0.3">
      <c r="A63" s="1076"/>
      <c r="B63" s="1158"/>
      <c r="C63" s="1200"/>
      <c r="D63" s="721" t="s">
        <v>309</v>
      </c>
      <c r="E63" s="23">
        <f>+S63+AE63</f>
        <v>315000</v>
      </c>
      <c r="F63" s="23">
        <v>0</v>
      </c>
      <c r="G63" s="82">
        <f>+E63+F63</f>
        <v>315000</v>
      </c>
      <c r="H63" s="73"/>
      <c r="I63" s="73"/>
      <c r="J63" s="73"/>
      <c r="K63" s="73"/>
      <c r="L63" s="73"/>
      <c r="M63" s="73"/>
      <c r="N63" s="569">
        <v>30000</v>
      </c>
      <c r="O63" s="73">
        <v>40000</v>
      </c>
      <c r="P63" s="73">
        <v>50000</v>
      </c>
      <c r="Q63" s="73">
        <v>25000</v>
      </c>
      <c r="R63" s="73"/>
      <c r="S63" s="74">
        <f>SUM(H63:R63)</f>
        <v>145000</v>
      </c>
      <c r="T63" s="73"/>
      <c r="U63" s="73"/>
      <c r="V63" s="73">
        <v>25000</v>
      </c>
      <c r="W63" s="73">
        <v>25000</v>
      </c>
      <c r="X63" s="73">
        <v>25000</v>
      </c>
      <c r="Y63" s="73">
        <v>25000</v>
      </c>
      <c r="Z63" s="73">
        <v>25000</v>
      </c>
      <c r="AA63" s="73">
        <v>25000</v>
      </c>
      <c r="AB63" s="73">
        <v>20000</v>
      </c>
      <c r="AC63" s="73"/>
      <c r="AD63" s="73"/>
      <c r="AE63" s="74">
        <f>SUM(T63:AD63)</f>
        <v>170000</v>
      </c>
      <c r="AF63" s="24" t="s">
        <v>266</v>
      </c>
    </row>
    <row r="64" spans="1:32" s="4" customFormat="1" ht="67.5" customHeight="1" x14ac:dyDescent="0.3">
      <c r="A64" s="1076"/>
      <c r="B64" s="1158"/>
      <c r="C64" s="1200"/>
      <c r="D64" s="302" t="s">
        <v>310</v>
      </c>
      <c r="E64" s="23">
        <f>+S64+AE64</f>
        <v>195000</v>
      </c>
      <c r="F64" s="23">
        <v>0</v>
      </c>
      <c r="G64" s="82">
        <f>+E64+F64</f>
        <v>195000</v>
      </c>
      <c r="H64" s="73"/>
      <c r="I64" s="73"/>
      <c r="J64" s="73"/>
      <c r="K64" s="73"/>
      <c r="M64" s="73"/>
      <c r="N64" s="569">
        <v>30000</v>
      </c>
      <c r="O64" s="73">
        <v>30000</v>
      </c>
      <c r="P64" s="73">
        <v>30000</v>
      </c>
      <c r="Q64" s="73"/>
      <c r="R64" s="73"/>
      <c r="S64" s="74">
        <f>SUM(H64:R64)</f>
        <v>90000</v>
      </c>
      <c r="T64" s="73"/>
      <c r="U64" s="73"/>
      <c r="V64" s="308">
        <v>21000</v>
      </c>
      <c r="W64" s="308">
        <v>21000</v>
      </c>
      <c r="X64" s="308">
        <v>21000</v>
      </c>
      <c r="Y64" s="308">
        <v>21000</v>
      </c>
      <c r="Z64" s="308">
        <v>21000</v>
      </c>
      <c r="AA64" s="73"/>
      <c r="AB64" s="73"/>
      <c r="AC64" s="73"/>
      <c r="AD64" s="73"/>
      <c r="AE64" s="74">
        <f>SUM(T64:AD64)</f>
        <v>105000</v>
      </c>
      <c r="AF64" s="24" t="s">
        <v>266</v>
      </c>
    </row>
    <row r="65" spans="1:32" s="4" customFormat="1" ht="64.5" customHeight="1" x14ac:dyDescent="0.3">
      <c r="A65" s="1076"/>
      <c r="B65" s="1159"/>
      <c r="C65" s="1201"/>
      <c r="D65" s="295" t="s">
        <v>311</v>
      </c>
      <c r="E65" s="23">
        <f>+S65+AE65</f>
        <v>308509.65000000002</v>
      </c>
      <c r="F65" s="23">
        <v>0</v>
      </c>
      <c r="G65" s="82">
        <f>+E65+F65</f>
        <v>308509.65000000002</v>
      </c>
      <c r="H65" s="73"/>
      <c r="I65" s="73"/>
      <c r="J65" s="73"/>
      <c r="K65" s="73"/>
      <c r="L65" s="73"/>
      <c r="M65" s="73"/>
      <c r="N65" s="569">
        <v>50000</v>
      </c>
      <c r="O65" s="73"/>
      <c r="P65" s="73">
        <v>50000</v>
      </c>
      <c r="Q65" s="73">
        <v>50000</v>
      </c>
      <c r="R65" s="73"/>
      <c r="S65" s="74">
        <f>SUM(H65:R65)</f>
        <v>150000</v>
      </c>
      <c r="T65" s="73"/>
      <c r="U65" s="73"/>
      <c r="V65" s="73"/>
      <c r="W65" s="73">
        <v>60000</v>
      </c>
      <c r="X65" s="73"/>
      <c r="Y65" s="73">
        <v>50000</v>
      </c>
      <c r="Z65" s="73"/>
      <c r="AA65" s="73">
        <f>60000-11490.35</f>
        <v>48509.65</v>
      </c>
      <c r="AB65" s="73"/>
      <c r="AC65" s="73"/>
      <c r="AD65" s="73"/>
      <c r="AE65" s="74">
        <f>SUM(T65:AD65)</f>
        <v>158509.65</v>
      </c>
      <c r="AF65" s="24" t="s">
        <v>266</v>
      </c>
    </row>
    <row r="66" spans="1:32" s="4" customFormat="1" x14ac:dyDescent="0.3">
      <c r="A66" s="1076"/>
      <c r="B66" s="1157" t="s">
        <v>3</v>
      </c>
      <c r="C66" s="1135" t="s">
        <v>557</v>
      </c>
      <c r="D66" s="426"/>
      <c r="E66" s="207">
        <f>SUM(E67:E68)</f>
        <v>0</v>
      </c>
      <c r="F66" s="207">
        <f t="shared" ref="F66:AE66" si="27">SUM(F67:F68)</f>
        <v>2468220</v>
      </c>
      <c r="G66" s="207">
        <f t="shared" si="27"/>
        <v>2468220</v>
      </c>
      <c r="H66" s="207">
        <f t="shared" si="27"/>
        <v>0</v>
      </c>
      <c r="I66" s="207">
        <f t="shared" si="27"/>
        <v>0</v>
      </c>
      <c r="J66" s="207">
        <f t="shared" si="27"/>
        <v>0</v>
      </c>
      <c r="K66" s="207">
        <f t="shared" si="27"/>
        <v>66000</v>
      </c>
      <c r="L66" s="207">
        <f t="shared" si="27"/>
        <v>0</v>
      </c>
      <c r="M66" s="207">
        <f t="shared" si="27"/>
        <v>0</v>
      </c>
      <c r="N66" s="207">
        <f t="shared" si="27"/>
        <v>0</v>
      </c>
      <c r="O66" s="207">
        <f t="shared" si="27"/>
        <v>334000</v>
      </c>
      <c r="P66" s="207">
        <f t="shared" si="27"/>
        <v>0</v>
      </c>
      <c r="Q66" s="207">
        <f t="shared" si="27"/>
        <v>0</v>
      </c>
      <c r="R66" s="207">
        <f t="shared" si="27"/>
        <v>0</v>
      </c>
      <c r="S66" s="207">
        <f t="shared" si="27"/>
        <v>400000</v>
      </c>
      <c r="T66" s="207">
        <f t="shared" si="27"/>
        <v>0</v>
      </c>
      <c r="U66" s="207">
        <f t="shared" si="27"/>
        <v>0</v>
      </c>
      <c r="V66" s="207">
        <f t="shared" si="27"/>
        <v>0</v>
      </c>
      <c r="W66" s="207">
        <f t="shared" si="27"/>
        <v>1659220</v>
      </c>
      <c r="X66" s="207">
        <f t="shared" si="27"/>
        <v>409000</v>
      </c>
      <c r="Y66" s="207">
        <f t="shared" si="27"/>
        <v>0</v>
      </c>
      <c r="Z66" s="207">
        <f t="shared" si="27"/>
        <v>0</v>
      </c>
      <c r="AA66" s="207">
        <f t="shared" si="27"/>
        <v>0</v>
      </c>
      <c r="AB66" s="207">
        <f t="shared" si="27"/>
        <v>0</v>
      </c>
      <c r="AC66" s="207">
        <f t="shared" si="27"/>
        <v>0</v>
      </c>
      <c r="AD66" s="207">
        <f t="shared" si="27"/>
        <v>0</v>
      </c>
      <c r="AE66" s="207">
        <f t="shared" si="27"/>
        <v>2068220</v>
      </c>
      <c r="AF66" s="53"/>
    </row>
    <row r="67" spans="1:32" s="4" customFormat="1" ht="59.25" customHeight="1" x14ac:dyDescent="0.3">
      <c r="A67" s="1076"/>
      <c r="B67" s="1158"/>
      <c r="C67" s="1136"/>
      <c r="D67" s="295" t="s">
        <v>576</v>
      </c>
      <c r="E67" s="23">
        <v>0</v>
      </c>
      <c r="F67" s="307">
        <f>+S67+AE67</f>
        <v>1659220</v>
      </c>
      <c r="G67" s="82">
        <f>+E67+F67</f>
        <v>1659220</v>
      </c>
      <c r="H67" s="73"/>
      <c r="I67" s="73"/>
      <c r="J67" s="73"/>
      <c r="K67" s="73"/>
      <c r="L67" s="73"/>
      <c r="M67" s="73"/>
      <c r="N67" s="73"/>
      <c r="O67" s="73"/>
      <c r="P67" s="73"/>
      <c r="Q67" s="73"/>
      <c r="R67" s="73"/>
      <c r="S67" s="74">
        <f>SUM(H67:R67)</f>
        <v>0</v>
      </c>
      <c r="T67" s="73"/>
      <c r="U67" s="73"/>
      <c r="V67" s="73"/>
      <c r="W67" s="73">
        <v>1659220</v>
      </c>
      <c r="X67" s="73"/>
      <c r="Y67" s="73"/>
      <c r="Z67" s="73"/>
      <c r="AA67" s="73"/>
      <c r="AB67" s="73"/>
      <c r="AC67" s="73"/>
      <c r="AD67" s="73"/>
      <c r="AE67" s="74">
        <f>SUM(T67:AD67)</f>
        <v>1659220</v>
      </c>
      <c r="AF67" s="24" t="s">
        <v>266</v>
      </c>
    </row>
    <row r="68" spans="1:32" s="4" customFormat="1" ht="40.5" customHeight="1" x14ac:dyDescent="0.3">
      <c r="A68" s="1076"/>
      <c r="B68" s="1159"/>
      <c r="C68" s="1137"/>
      <c r="D68" s="295" t="s">
        <v>312</v>
      </c>
      <c r="E68" s="23">
        <v>0</v>
      </c>
      <c r="F68" s="307">
        <f>+S68+AE68</f>
        <v>809000</v>
      </c>
      <c r="G68" s="82">
        <f>+E68+F68</f>
        <v>809000</v>
      </c>
      <c r="H68" s="73"/>
      <c r="I68" s="73"/>
      <c r="J68" s="73"/>
      <c r="K68" s="73">
        <v>66000</v>
      </c>
      <c r="L68" s="73"/>
      <c r="M68" s="73"/>
      <c r="N68" s="73"/>
      <c r="O68" s="73">
        <f>400000-66000</f>
        <v>334000</v>
      </c>
      <c r="P68" s="73"/>
      <c r="Q68" s="73"/>
      <c r="R68" s="73"/>
      <c r="S68" s="74">
        <f>SUM(H68:R68)</f>
        <v>400000</v>
      </c>
      <c r="T68" s="73"/>
      <c r="U68" s="73"/>
      <c r="V68" s="73"/>
      <c r="W68" s="73"/>
      <c r="X68" s="73">
        <v>409000</v>
      </c>
      <c r="Y68" s="73"/>
      <c r="Z68" s="73"/>
      <c r="AA68" s="73"/>
      <c r="AB68" s="73"/>
      <c r="AC68" s="73"/>
      <c r="AD68" s="73"/>
      <c r="AE68" s="74">
        <f>SUM(T68:AD68)</f>
        <v>409000</v>
      </c>
      <c r="AF68" s="24" t="s">
        <v>266</v>
      </c>
    </row>
    <row r="69" spans="1:32" s="4" customFormat="1" x14ac:dyDescent="0.3">
      <c r="A69" s="1076"/>
      <c r="B69" s="1157" t="s">
        <v>4</v>
      </c>
      <c r="C69" s="1135" t="s">
        <v>736</v>
      </c>
      <c r="D69" s="426"/>
      <c r="E69" s="207">
        <f>SUM(E70)</f>
        <v>400000</v>
      </c>
      <c r="F69" s="207">
        <f t="shared" ref="F69:AE69" si="28">SUM(F70)</f>
        <v>0</v>
      </c>
      <c r="G69" s="207">
        <f t="shared" si="28"/>
        <v>400000</v>
      </c>
      <c r="H69" s="207">
        <f t="shared" si="28"/>
        <v>0</v>
      </c>
      <c r="I69" s="207">
        <f t="shared" si="28"/>
        <v>0</v>
      </c>
      <c r="J69" s="207">
        <f t="shared" si="28"/>
        <v>0</v>
      </c>
      <c r="K69" s="207">
        <f t="shared" si="28"/>
        <v>60000</v>
      </c>
      <c r="L69" s="207">
        <f t="shared" si="28"/>
        <v>0</v>
      </c>
      <c r="M69" s="207">
        <f t="shared" si="28"/>
        <v>0</v>
      </c>
      <c r="N69" s="207">
        <f t="shared" si="28"/>
        <v>40000</v>
      </c>
      <c r="O69" s="207">
        <f t="shared" si="28"/>
        <v>25000</v>
      </c>
      <c r="P69" s="207">
        <f t="shared" si="28"/>
        <v>25000</v>
      </c>
      <c r="Q69" s="207">
        <f t="shared" si="28"/>
        <v>25000</v>
      </c>
      <c r="R69" s="207">
        <f t="shared" si="28"/>
        <v>25000</v>
      </c>
      <c r="S69" s="207">
        <f t="shared" si="28"/>
        <v>200000</v>
      </c>
      <c r="T69" s="207">
        <f t="shared" si="28"/>
        <v>0</v>
      </c>
      <c r="U69" s="207">
        <f t="shared" si="28"/>
        <v>0</v>
      </c>
      <c r="V69" s="207">
        <f t="shared" si="28"/>
        <v>25000</v>
      </c>
      <c r="W69" s="207">
        <f t="shared" si="28"/>
        <v>25000</v>
      </c>
      <c r="X69" s="207">
        <f t="shared" si="28"/>
        <v>25000</v>
      </c>
      <c r="Y69" s="207">
        <f t="shared" si="28"/>
        <v>25000</v>
      </c>
      <c r="Z69" s="207">
        <f t="shared" si="28"/>
        <v>25000</v>
      </c>
      <c r="AA69" s="207">
        <f t="shared" si="28"/>
        <v>25000</v>
      </c>
      <c r="AB69" s="207">
        <f t="shared" si="28"/>
        <v>25000</v>
      </c>
      <c r="AC69" s="207">
        <f t="shared" si="28"/>
        <v>25000</v>
      </c>
      <c r="AD69" s="207">
        <f t="shared" si="28"/>
        <v>0</v>
      </c>
      <c r="AE69" s="207">
        <f t="shared" si="28"/>
        <v>200000</v>
      </c>
      <c r="AF69" s="53"/>
    </row>
    <row r="70" spans="1:32" s="4" customFormat="1" ht="108.75" customHeight="1" x14ac:dyDescent="0.3">
      <c r="A70" s="1077"/>
      <c r="B70" s="1158"/>
      <c r="C70" s="1136"/>
      <c r="D70" s="295" t="s">
        <v>313</v>
      </c>
      <c r="E70" s="307">
        <f>+S70+AE70</f>
        <v>400000</v>
      </c>
      <c r="F70" s="307">
        <v>0</v>
      </c>
      <c r="G70" s="82">
        <f t="shared" ref="G70:G75" si="29">+E70+F70</f>
        <v>400000</v>
      </c>
      <c r="H70" s="73"/>
      <c r="I70" s="73"/>
      <c r="J70" s="73"/>
      <c r="K70" s="73">
        <v>60000</v>
      </c>
      <c r="L70" s="73"/>
      <c r="M70" s="73"/>
      <c r="N70" s="569">
        <v>40000</v>
      </c>
      <c r="O70" s="73">
        <v>25000</v>
      </c>
      <c r="P70" s="73">
        <v>25000</v>
      </c>
      <c r="Q70" s="73">
        <v>25000</v>
      </c>
      <c r="R70" s="73">
        <v>25000</v>
      </c>
      <c r="S70" s="74">
        <f>SUM(H70:R70)</f>
        <v>200000</v>
      </c>
      <c r="T70" s="73"/>
      <c r="U70" s="73"/>
      <c r="V70" s="73">
        <v>25000</v>
      </c>
      <c r="W70" s="73">
        <v>25000</v>
      </c>
      <c r="X70" s="73">
        <v>25000</v>
      </c>
      <c r="Y70" s="73">
        <v>25000</v>
      </c>
      <c r="Z70" s="73">
        <v>25000</v>
      </c>
      <c r="AA70" s="73">
        <v>25000</v>
      </c>
      <c r="AB70" s="73">
        <v>25000</v>
      </c>
      <c r="AC70" s="73">
        <v>25000</v>
      </c>
      <c r="AD70" s="73"/>
      <c r="AE70" s="74">
        <f>SUM(T70:AD70)</f>
        <v>200000</v>
      </c>
      <c r="AF70" s="24" t="s">
        <v>266</v>
      </c>
    </row>
    <row r="71" spans="1:32" ht="20.25" customHeight="1" x14ac:dyDescent="0.3">
      <c r="A71" s="1094" t="s">
        <v>322</v>
      </c>
      <c r="B71" s="266"/>
      <c r="C71" s="301"/>
      <c r="D71" s="291"/>
      <c r="E71" s="267">
        <f>+E72+E74</f>
        <v>400000</v>
      </c>
      <c r="F71" s="267">
        <f t="shared" ref="F71:N71" si="30">+F72+F74</f>
        <v>0</v>
      </c>
      <c r="G71" s="267">
        <f t="shared" si="30"/>
        <v>400000</v>
      </c>
      <c r="H71" s="267">
        <f t="shared" si="30"/>
        <v>0</v>
      </c>
      <c r="I71" s="267">
        <f t="shared" si="30"/>
        <v>0</v>
      </c>
      <c r="J71" s="267">
        <f t="shared" si="30"/>
        <v>0</v>
      </c>
      <c r="K71" s="267">
        <f t="shared" si="30"/>
        <v>0</v>
      </c>
      <c r="L71" s="267">
        <f t="shared" si="30"/>
        <v>0</v>
      </c>
      <c r="M71" s="267">
        <f t="shared" si="30"/>
        <v>0</v>
      </c>
      <c r="N71" s="267">
        <f t="shared" si="30"/>
        <v>0</v>
      </c>
      <c r="O71" s="267">
        <f t="shared" ref="O71:AF71" si="31">+O72+O74</f>
        <v>0</v>
      </c>
      <c r="P71" s="267">
        <f t="shared" si="31"/>
        <v>1353.5</v>
      </c>
      <c r="Q71" s="267">
        <f t="shared" si="31"/>
        <v>28000</v>
      </c>
      <c r="R71" s="267">
        <f t="shared" si="31"/>
        <v>25000</v>
      </c>
      <c r="S71" s="267">
        <f t="shared" si="31"/>
        <v>54353.5</v>
      </c>
      <c r="T71" s="267">
        <f t="shared" si="31"/>
        <v>0</v>
      </c>
      <c r="U71" s="267">
        <f t="shared" si="31"/>
        <v>42000</v>
      </c>
      <c r="V71" s="267">
        <f t="shared" si="31"/>
        <v>42000</v>
      </c>
      <c r="W71" s="267">
        <f t="shared" si="31"/>
        <v>42000</v>
      </c>
      <c r="X71" s="267">
        <f t="shared" si="31"/>
        <v>42000</v>
      </c>
      <c r="Y71" s="267">
        <f t="shared" si="31"/>
        <v>42000</v>
      </c>
      <c r="Z71" s="267">
        <f t="shared" si="31"/>
        <v>27000</v>
      </c>
      <c r="AA71" s="267">
        <f t="shared" si="31"/>
        <v>27000</v>
      </c>
      <c r="AB71" s="267">
        <f t="shared" si="31"/>
        <v>27646.5</v>
      </c>
      <c r="AC71" s="267">
        <f t="shared" si="31"/>
        <v>29000</v>
      </c>
      <c r="AD71" s="267">
        <f t="shared" si="31"/>
        <v>25000</v>
      </c>
      <c r="AE71" s="267">
        <f t="shared" si="31"/>
        <v>345646.5</v>
      </c>
      <c r="AF71" s="267">
        <f t="shared" si="31"/>
        <v>0</v>
      </c>
    </row>
    <row r="72" spans="1:32" ht="21" customHeight="1" x14ac:dyDescent="0.3">
      <c r="A72" s="1094"/>
      <c r="B72" s="1227" t="s">
        <v>2</v>
      </c>
      <c r="C72" s="1241" t="s">
        <v>323</v>
      </c>
      <c r="D72" s="426"/>
      <c r="E72" s="207">
        <f>SUM(E73)</f>
        <v>25000</v>
      </c>
      <c r="F72" s="207">
        <f t="shared" ref="F72:K72" si="32">SUM(F73)</f>
        <v>0</v>
      </c>
      <c r="G72" s="207">
        <f t="shared" si="32"/>
        <v>25000</v>
      </c>
      <c r="H72" s="207">
        <f t="shared" si="32"/>
        <v>0</v>
      </c>
      <c r="I72" s="207">
        <f t="shared" si="32"/>
        <v>0</v>
      </c>
      <c r="J72" s="207">
        <f t="shared" si="32"/>
        <v>0</v>
      </c>
      <c r="K72" s="207">
        <f t="shared" si="32"/>
        <v>0</v>
      </c>
      <c r="L72" s="207">
        <f t="shared" ref="L72:AF72" si="33">SUM(L73)</f>
        <v>0</v>
      </c>
      <c r="M72" s="207">
        <f t="shared" si="33"/>
        <v>0</v>
      </c>
      <c r="N72" s="207">
        <f t="shared" si="33"/>
        <v>0</v>
      </c>
      <c r="O72" s="207">
        <f t="shared" si="33"/>
        <v>0</v>
      </c>
      <c r="P72" s="207">
        <f t="shared" si="33"/>
        <v>1353.5</v>
      </c>
      <c r="Q72" s="207">
        <f t="shared" si="33"/>
        <v>3000</v>
      </c>
      <c r="R72" s="207">
        <f t="shared" si="33"/>
        <v>0</v>
      </c>
      <c r="S72" s="207">
        <f t="shared" si="33"/>
        <v>4353.5</v>
      </c>
      <c r="T72" s="207">
        <f t="shared" si="33"/>
        <v>0</v>
      </c>
      <c r="U72" s="207">
        <f t="shared" si="33"/>
        <v>2000</v>
      </c>
      <c r="V72" s="207">
        <f t="shared" si="33"/>
        <v>2000</v>
      </c>
      <c r="W72" s="207">
        <f t="shared" si="33"/>
        <v>2000</v>
      </c>
      <c r="X72" s="207">
        <f t="shared" si="33"/>
        <v>2000</v>
      </c>
      <c r="Y72" s="207">
        <f t="shared" si="33"/>
        <v>2000</v>
      </c>
      <c r="Z72" s="207">
        <f t="shared" si="33"/>
        <v>2000</v>
      </c>
      <c r="AA72" s="207">
        <f t="shared" si="33"/>
        <v>2000</v>
      </c>
      <c r="AB72" s="207">
        <f t="shared" si="33"/>
        <v>2646.5</v>
      </c>
      <c r="AC72" s="207">
        <f t="shared" si="33"/>
        <v>4000</v>
      </c>
      <c r="AD72" s="207">
        <f t="shared" si="33"/>
        <v>0</v>
      </c>
      <c r="AE72" s="207">
        <f t="shared" si="33"/>
        <v>20646.5</v>
      </c>
      <c r="AF72" s="72">
        <f t="shared" si="33"/>
        <v>0</v>
      </c>
    </row>
    <row r="73" spans="1:32" s="4" customFormat="1" ht="75.75" customHeight="1" x14ac:dyDescent="0.3">
      <c r="A73" s="1094"/>
      <c r="B73" s="1227"/>
      <c r="C73" s="1241"/>
      <c r="D73" s="304" t="s">
        <v>324</v>
      </c>
      <c r="E73" s="23">
        <f>+S73+AE73</f>
        <v>25000</v>
      </c>
      <c r="F73" s="23">
        <v>0</v>
      </c>
      <c r="G73" s="82">
        <f t="shared" si="29"/>
        <v>25000</v>
      </c>
      <c r="H73" s="73"/>
      <c r="I73" s="73"/>
      <c r="J73" s="73"/>
      <c r="K73" s="73"/>
      <c r="L73" s="73"/>
      <c r="M73" s="73"/>
      <c r="N73" s="569"/>
      <c r="O73" s="73"/>
      <c r="P73" s="73">
        <f>3000-1646.5</f>
        <v>1353.5</v>
      </c>
      <c r="Q73" s="73">
        <v>3000</v>
      </c>
      <c r="R73" s="73"/>
      <c r="S73" s="74">
        <f>SUM(H73:R73)</f>
        <v>4353.5</v>
      </c>
      <c r="T73" s="73"/>
      <c r="U73" s="73">
        <v>2000</v>
      </c>
      <c r="V73" s="73">
        <v>2000</v>
      </c>
      <c r="W73" s="73">
        <v>2000</v>
      </c>
      <c r="X73" s="73">
        <v>2000</v>
      </c>
      <c r="Y73" s="73">
        <v>2000</v>
      </c>
      <c r="Z73" s="73">
        <v>2000</v>
      </c>
      <c r="AA73" s="73">
        <v>2000</v>
      </c>
      <c r="AB73" s="73">
        <f>1000+1646.5</f>
        <v>2646.5</v>
      </c>
      <c r="AC73" s="73">
        <v>4000</v>
      </c>
      <c r="AD73" s="73"/>
      <c r="AE73" s="74">
        <f>SUM(T73:AD73)</f>
        <v>20646.5</v>
      </c>
      <c r="AF73" s="24" t="s">
        <v>328</v>
      </c>
    </row>
    <row r="74" spans="1:32" s="4" customFormat="1" ht="27.75" customHeight="1" x14ac:dyDescent="0.3">
      <c r="A74" s="1094"/>
      <c r="B74" s="1157" t="s">
        <v>3</v>
      </c>
      <c r="C74" s="1199" t="s">
        <v>559</v>
      </c>
      <c r="D74" s="427"/>
      <c r="E74" s="202">
        <f>+E75</f>
        <v>375000</v>
      </c>
      <c r="F74" s="202">
        <f t="shared" ref="F74:W74" si="34">+F75</f>
        <v>0</v>
      </c>
      <c r="G74" s="202">
        <f t="shared" si="34"/>
        <v>375000</v>
      </c>
      <c r="H74" s="202">
        <f t="shared" si="34"/>
        <v>0</v>
      </c>
      <c r="I74" s="202">
        <f t="shared" si="34"/>
        <v>0</v>
      </c>
      <c r="J74" s="202">
        <f t="shared" si="34"/>
        <v>0</v>
      </c>
      <c r="K74" s="202">
        <f t="shared" si="34"/>
        <v>0</v>
      </c>
      <c r="L74" s="202">
        <f t="shared" si="34"/>
        <v>0</v>
      </c>
      <c r="M74" s="202">
        <f t="shared" si="34"/>
        <v>0</v>
      </c>
      <c r="N74" s="202">
        <f t="shared" si="34"/>
        <v>0</v>
      </c>
      <c r="O74" s="202">
        <f t="shared" si="34"/>
        <v>0</v>
      </c>
      <c r="P74" s="202">
        <f t="shared" si="34"/>
        <v>0</v>
      </c>
      <c r="Q74" s="202">
        <f t="shared" si="34"/>
        <v>25000</v>
      </c>
      <c r="R74" s="202">
        <f t="shared" si="34"/>
        <v>25000</v>
      </c>
      <c r="S74" s="202">
        <f t="shared" si="34"/>
        <v>50000</v>
      </c>
      <c r="T74" s="202">
        <f t="shared" si="34"/>
        <v>0</v>
      </c>
      <c r="U74" s="202">
        <f t="shared" si="34"/>
        <v>40000</v>
      </c>
      <c r="V74" s="202">
        <f t="shared" si="34"/>
        <v>40000</v>
      </c>
      <c r="W74" s="202">
        <f t="shared" si="34"/>
        <v>40000</v>
      </c>
      <c r="X74" s="202">
        <f t="shared" ref="X74:AE74" si="35">+X75</f>
        <v>40000</v>
      </c>
      <c r="Y74" s="202">
        <f t="shared" si="35"/>
        <v>40000</v>
      </c>
      <c r="Z74" s="202">
        <f t="shared" si="35"/>
        <v>25000</v>
      </c>
      <c r="AA74" s="202">
        <f t="shared" si="35"/>
        <v>25000</v>
      </c>
      <c r="AB74" s="202">
        <f t="shared" si="35"/>
        <v>25000</v>
      </c>
      <c r="AC74" s="202">
        <f t="shared" si="35"/>
        <v>25000</v>
      </c>
      <c r="AD74" s="202">
        <f t="shared" si="35"/>
        <v>25000</v>
      </c>
      <c r="AE74" s="202">
        <f t="shared" si="35"/>
        <v>325000</v>
      </c>
      <c r="AF74" s="24"/>
    </row>
    <row r="75" spans="1:32" s="4" customFormat="1" ht="99.75" customHeight="1" x14ac:dyDescent="0.3">
      <c r="A75" s="1094"/>
      <c r="B75" s="1159"/>
      <c r="C75" s="1201"/>
      <c r="D75" s="46" t="s">
        <v>325</v>
      </c>
      <c r="E75" s="23">
        <f>+S75+AE75</f>
        <v>375000</v>
      </c>
      <c r="F75" s="23">
        <v>0</v>
      </c>
      <c r="G75" s="82">
        <f t="shared" si="29"/>
        <v>375000</v>
      </c>
      <c r="H75" s="73"/>
      <c r="I75" s="73"/>
      <c r="J75" s="73"/>
      <c r="K75" s="73"/>
      <c r="L75" s="73"/>
      <c r="M75" s="73"/>
      <c r="N75" s="569"/>
      <c r="O75" s="73"/>
      <c r="P75" s="73"/>
      <c r="Q75" s="73">
        <v>25000</v>
      </c>
      <c r="R75" s="73">
        <v>25000</v>
      </c>
      <c r="S75" s="74">
        <f>SUM(H75:R75)</f>
        <v>50000</v>
      </c>
      <c r="T75" s="73"/>
      <c r="U75" s="73">
        <v>40000</v>
      </c>
      <c r="V75" s="73">
        <v>40000</v>
      </c>
      <c r="W75" s="73">
        <v>40000</v>
      </c>
      <c r="X75" s="73">
        <v>40000</v>
      </c>
      <c r="Y75" s="73">
        <v>40000</v>
      </c>
      <c r="Z75" s="73">
        <v>25000</v>
      </c>
      <c r="AA75" s="73">
        <v>25000</v>
      </c>
      <c r="AB75" s="73">
        <v>25000</v>
      </c>
      <c r="AC75" s="73">
        <v>25000</v>
      </c>
      <c r="AD75" s="73">
        <v>25000</v>
      </c>
      <c r="AE75" s="74">
        <f>SUM(T75:AD75)</f>
        <v>325000</v>
      </c>
      <c r="AF75" s="24" t="s">
        <v>328</v>
      </c>
    </row>
    <row r="77" spans="1:32" x14ac:dyDescent="0.3">
      <c r="B77" s="31"/>
      <c r="H77" t="s">
        <v>642</v>
      </c>
      <c r="J77" s="617">
        <f>+P22+K24+P24+O45+K54+K59+O59+K68+O68</f>
        <v>2399650</v>
      </c>
    </row>
    <row r="78" spans="1:32" x14ac:dyDescent="0.3">
      <c r="B78" s="31"/>
    </row>
    <row r="79" spans="1:32" x14ac:dyDescent="0.3">
      <c r="B79" s="31"/>
    </row>
    <row r="81" spans="2:2" x14ac:dyDescent="0.3">
      <c r="B81" s="31"/>
    </row>
    <row r="82" spans="2:2" x14ac:dyDescent="0.3">
      <c r="B82" s="31"/>
    </row>
  </sheetData>
  <autoFilter ref="A6:AH75"/>
  <mergeCells count="54">
    <mergeCell ref="C53:C54"/>
    <mergeCell ref="A52:A54"/>
    <mergeCell ref="A55:A59"/>
    <mergeCell ref="B69:B70"/>
    <mergeCell ref="C69:C70"/>
    <mergeCell ref="B66:B68"/>
    <mergeCell ref="C66:C68"/>
    <mergeCell ref="B61:B65"/>
    <mergeCell ref="C61:C65"/>
    <mergeCell ref="H5:R5"/>
    <mergeCell ref="AE5:AE6"/>
    <mergeCell ref="B26:B28"/>
    <mergeCell ref="C26:C28"/>
    <mergeCell ref="AF5:AF6"/>
    <mergeCell ref="A8:G8"/>
    <mergeCell ref="S5:S6"/>
    <mergeCell ref="T5:AD5"/>
    <mergeCell ref="A7:D7"/>
    <mergeCell ref="E5:E6"/>
    <mergeCell ref="F5:F6"/>
    <mergeCell ref="G5:G6"/>
    <mergeCell ref="A9:G9"/>
    <mergeCell ref="B74:B75"/>
    <mergeCell ref="C74:C75"/>
    <mergeCell ref="C37:C42"/>
    <mergeCell ref="B56:B57"/>
    <mergeCell ref="C56:C57"/>
    <mergeCell ref="B58:B59"/>
    <mergeCell ref="C58:C59"/>
    <mergeCell ref="A51:G51"/>
    <mergeCell ref="A60:A70"/>
    <mergeCell ref="A71:A75"/>
    <mergeCell ref="B72:B73"/>
    <mergeCell ref="C72:C73"/>
    <mergeCell ref="C43:C45"/>
    <mergeCell ref="B43:B45"/>
    <mergeCell ref="C46:C49"/>
    <mergeCell ref="B53:B54"/>
    <mergeCell ref="A29:G29"/>
    <mergeCell ref="A50:G50"/>
    <mergeCell ref="B11:B17"/>
    <mergeCell ref="C11:C17"/>
    <mergeCell ref="B18:B20"/>
    <mergeCell ref="C18:C20"/>
    <mergeCell ref="B23:B25"/>
    <mergeCell ref="C23:C25"/>
    <mergeCell ref="B21:B22"/>
    <mergeCell ref="C21:C22"/>
    <mergeCell ref="A10:A28"/>
    <mergeCell ref="B31:B36"/>
    <mergeCell ref="B37:B42"/>
    <mergeCell ref="B46:B49"/>
    <mergeCell ref="A30:A49"/>
    <mergeCell ref="C31:C36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99CC"/>
  </sheetPr>
  <dimension ref="A2:W31"/>
  <sheetViews>
    <sheetView zoomScale="40" zoomScaleNormal="40" workbookViewId="0">
      <pane xSplit="4" ySplit="10" topLeftCell="E11" activePane="bottomRight" state="frozen"/>
      <selection pane="topRight" activeCell="E1" sqref="E1"/>
      <selection pane="bottomLeft" activeCell="A9" sqref="A9"/>
      <selection pane="bottomRight" activeCell="A5" sqref="A5"/>
    </sheetView>
  </sheetViews>
  <sheetFormatPr baseColWidth="10" defaultRowHeight="14.4" x14ac:dyDescent="0.3"/>
  <cols>
    <col min="1" max="1" width="24.6640625" customWidth="1"/>
    <col min="2" max="2" width="19.33203125" customWidth="1"/>
    <col min="3" max="3" width="20.33203125" style="109" customWidth="1"/>
    <col min="4" max="4" width="24" customWidth="1"/>
    <col min="5" max="5" width="14.44140625" customWidth="1"/>
    <col min="6" max="6" width="29.33203125" customWidth="1"/>
    <col min="7" max="7" width="17.88671875" bestFit="1" customWidth="1"/>
    <col min="8" max="8" width="17.109375" bestFit="1" customWidth="1"/>
    <col min="9" max="9" width="17.44140625" bestFit="1" customWidth="1"/>
    <col min="10" max="10" width="17.88671875" bestFit="1" customWidth="1"/>
    <col min="11" max="11" width="19.6640625" bestFit="1" customWidth="1"/>
    <col min="12" max="12" width="24.6640625" customWidth="1"/>
    <col min="13" max="13" width="19.33203125" customWidth="1"/>
    <col min="14" max="14" width="22.88671875" style="109" customWidth="1"/>
    <col min="15" max="15" width="29.5546875" customWidth="1"/>
    <col min="16" max="16" width="31.44140625" customWidth="1"/>
    <col min="17" max="17" width="17.88671875" bestFit="1" customWidth="1"/>
    <col min="18" max="18" width="17.109375" bestFit="1" customWidth="1"/>
    <col min="19" max="19" width="17.44140625" bestFit="1" customWidth="1"/>
    <col min="20" max="20" width="17.88671875" bestFit="1" customWidth="1"/>
    <col min="21" max="21" width="19.6640625" bestFit="1" customWidth="1"/>
    <col min="22" max="22" width="22.88671875" customWidth="1"/>
    <col min="23" max="23" width="22.6640625" customWidth="1"/>
  </cols>
  <sheetData>
    <row r="2" spans="1:23" s="4" customFormat="1" ht="25.5" customHeight="1" x14ac:dyDescent="0.25">
      <c r="A2" s="1252" t="s">
        <v>657</v>
      </c>
      <c r="B2" s="1252"/>
      <c r="C2" s="110"/>
      <c r="L2"/>
      <c r="M2"/>
      <c r="N2" s="109"/>
    </row>
    <row r="3" spans="1:23" s="4" customFormat="1" ht="15" x14ac:dyDescent="0.25">
      <c r="A3" s="178" t="s">
        <v>659</v>
      </c>
      <c r="B3" s="648">
        <v>2000000</v>
      </c>
      <c r="C3" s="110"/>
      <c r="L3"/>
      <c r="M3"/>
      <c r="N3" s="109"/>
    </row>
    <row r="4" spans="1:23" s="4" customFormat="1" ht="22.5" customHeight="1" x14ac:dyDescent="0.25">
      <c r="A4" s="178" t="s">
        <v>660</v>
      </c>
      <c r="B4" s="78">
        <v>17771702.399999999</v>
      </c>
      <c r="C4" s="110"/>
      <c r="L4"/>
      <c r="M4"/>
      <c r="N4" s="109"/>
    </row>
    <row r="5" spans="1:23" s="4" customFormat="1" ht="21" customHeight="1" x14ac:dyDescent="0.25">
      <c r="A5" s="178" t="s">
        <v>658</v>
      </c>
      <c r="B5" s="78">
        <f>+B4-B6</f>
        <v>15823194.149999999</v>
      </c>
      <c r="C5" s="110"/>
      <c r="L5"/>
      <c r="M5"/>
      <c r="N5" s="109"/>
    </row>
    <row r="6" spans="1:23" s="4" customFormat="1" ht="30" x14ac:dyDescent="0.25">
      <c r="A6" s="2" t="s">
        <v>661</v>
      </c>
      <c r="B6" s="78">
        <v>1948508.25</v>
      </c>
      <c r="C6" s="110"/>
      <c r="L6"/>
      <c r="M6"/>
      <c r="N6" s="109"/>
    </row>
    <row r="7" spans="1:23" s="4" customFormat="1" ht="15" x14ac:dyDescent="0.25">
      <c r="A7" s="695"/>
      <c r="B7" s="678"/>
      <c r="C7" s="110"/>
      <c r="L7"/>
      <c r="M7"/>
      <c r="N7" s="109"/>
    </row>
    <row r="8" spans="1:23" s="4" customFormat="1" ht="15" x14ac:dyDescent="0.25">
      <c r="A8" s="695"/>
      <c r="B8" s="678"/>
      <c r="C8" s="110"/>
      <c r="L8" s="695"/>
      <c r="M8" s="678"/>
      <c r="N8" s="110"/>
    </row>
    <row r="9" spans="1:23" ht="23.25" customHeight="1" x14ac:dyDescent="0.25">
      <c r="A9" s="1253" t="s">
        <v>702</v>
      </c>
      <c r="B9" s="1253"/>
      <c r="C9" s="1253"/>
      <c r="D9" s="1253"/>
      <c r="E9" s="1253"/>
      <c r="F9" s="1253"/>
      <c r="G9" s="1253"/>
      <c r="H9" s="1253"/>
      <c r="I9" s="1253"/>
      <c r="J9" s="1253"/>
      <c r="K9" s="1253"/>
      <c r="L9" s="1256" t="s">
        <v>359</v>
      </c>
      <c r="M9" s="1256"/>
      <c r="N9" s="1256"/>
      <c r="O9" s="1256"/>
      <c r="P9" s="1256"/>
      <c r="Q9" s="1256"/>
      <c r="R9" s="1256"/>
      <c r="S9" s="1256"/>
      <c r="T9" s="1256"/>
      <c r="U9" s="1256"/>
    </row>
    <row r="10" spans="1:23" s="664" customFormat="1" ht="27.75" customHeight="1" x14ac:dyDescent="0.3">
      <c r="A10" s="676" t="s">
        <v>666</v>
      </c>
      <c r="B10" s="676" t="s">
        <v>667</v>
      </c>
      <c r="C10" s="676" t="s">
        <v>668</v>
      </c>
      <c r="D10" s="676" t="s">
        <v>669</v>
      </c>
      <c r="E10" s="1249" t="s">
        <v>670</v>
      </c>
      <c r="F10" s="1249"/>
      <c r="G10" s="676" t="s">
        <v>662</v>
      </c>
      <c r="H10" s="676" t="s">
        <v>663</v>
      </c>
      <c r="I10" s="676" t="s">
        <v>664</v>
      </c>
      <c r="J10" s="676" t="s">
        <v>665</v>
      </c>
      <c r="K10" s="676" t="s">
        <v>671</v>
      </c>
      <c r="L10" s="696" t="s">
        <v>666</v>
      </c>
      <c r="M10" s="696" t="s">
        <v>667</v>
      </c>
      <c r="N10" s="696" t="s">
        <v>668</v>
      </c>
      <c r="O10" s="696" t="s">
        <v>669</v>
      </c>
      <c r="P10" s="700"/>
      <c r="Q10" s="696" t="s">
        <v>662</v>
      </c>
      <c r="R10" s="696" t="s">
        <v>663</v>
      </c>
      <c r="S10" s="696" t="s">
        <v>664</v>
      </c>
      <c r="T10" s="696" t="s">
        <v>665</v>
      </c>
      <c r="U10" s="696" t="s">
        <v>671</v>
      </c>
      <c r="V10" s="707" t="s">
        <v>716</v>
      </c>
      <c r="W10" s="707" t="s">
        <v>717</v>
      </c>
    </row>
    <row r="11" spans="1:23" s="664" customFormat="1" ht="27.75" customHeight="1" x14ac:dyDescent="0.25">
      <c r="A11" s="697"/>
      <c r="B11" s="698"/>
      <c r="C11" s="697"/>
      <c r="D11" s="697"/>
      <c r="E11" s="697"/>
      <c r="F11" s="697"/>
      <c r="G11" s="699">
        <f>+G12+G17+G22+G24+G30</f>
        <v>279585</v>
      </c>
      <c r="H11" s="699">
        <f>+H12+H17+H22+H24+H30</f>
        <v>836711</v>
      </c>
      <c r="I11" s="699">
        <f>+I12+I17+I22+I24+I30</f>
        <v>282212.25</v>
      </c>
      <c r="J11" s="699">
        <f>+J12+J17+J22+J24+J30</f>
        <v>550000</v>
      </c>
      <c r="K11" s="699">
        <f>+K12+K17+K22+K24+K30</f>
        <v>1948508.25</v>
      </c>
      <c r="L11" s="682"/>
      <c r="M11" s="683"/>
      <c r="N11" s="682"/>
      <c r="O11" s="682"/>
      <c r="P11" s="682"/>
      <c r="Q11" s="694">
        <f>+Q12+Q17+Q22+Q24+Q30</f>
        <v>279585</v>
      </c>
      <c r="R11" s="694">
        <f>+R12+R17+R22+R24+R30</f>
        <v>836711</v>
      </c>
      <c r="S11" s="694">
        <f>+S12+S17+S22+S24+S30</f>
        <v>282212.25</v>
      </c>
      <c r="T11" s="694">
        <f>+T12+T17+T22+T24+T30</f>
        <v>550000</v>
      </c>
      <c r="U11" s="694">
        <f>+U12+U17+U22+U24+U30</f>
        <v>1948508.25</v>
      </c>
      <c r="V11" s="708">
        <f>SUM(V12:V31)</f>
        <v>24440.6</v>
      </c>
      <c r="W11" s="708">
        <f>SUM(W12:W31)</f>
        <v>1924067.65</v>
      </c>
    </row>
    <row r="12" spans="1:23" ht="13.5" customHeight="1" x14ac:dyDescent="0.3">
      <c r="A12" s="1094" t="s">
        <v>698</v>
      </c>
      <c r="B12" s="1075" t="s">
        <v>700</v>
      </c>
      <c r="C12" s="1094" t="s">
        <v>97</v>
      </c>
      <c r="D12" s="1254" t="s">
        <v>672</v>
      </c>
      <c r="E12" s="668"/>
      <c r="F12" s="669"/>
      <c r="G12" s="684">
        <f>SUM(G13:G16)</f>
        <v>275575</v>
      </c>
      <c r="H12" s="684">
        <f>SUM(H13:H16)</f>
        <v>828461</v>
      </c>
      <c r="I12" s="684">
        <f>SUM(I13:I16)</f>
        <v>170031.65</v>
      </c>
      <c r="J12" s="684">
        <f>SUM(J13:J16)</f>
        <v>0</v>
      </c>
      <c r="K12" s="686">
        <f>SUM(K13:K16)</f>
        <v>1274067.6499999999</v>
      </c>
      <c r="L12" s="1094" t="s">
        <v>698</v>
      </c>
      <c r="M12" s="1075" t="s">
        <v>700</v>
      </c>
      <c r="N12" s="1094" t="s">
        <v>97</v>
      </c>
      <c r="O12" s="1254" t="s">
        <v>703</v>
      </c>
      <c r="P12" s="669"/>
      <c r="Q12" s="684">
        <f>SUM(Q13:Q16)</f>
        <v>275575</v>
      </c>
      <c r="R12" s="684">
        <f>SUM(R13:R16)</f>
        <v>828461</v>
      </c>
      <c r="S12" s="684">
        <f>SUM(S13:S16)</f>
        <v>170031.65</v>
      </c>
      <c r="T12" s="684">
        <f>SUM(T13:T16)</f>
        <v>0</v>
      </c>
      <c r="U12" s="686">
        <f>SUM(Q12:T12)</f>
        <v>1274067.6499999999</v>
      </c>
    </row>
    <row r="13" spans="1:23" x14ac:dyDescent="0.3">
      <c r="A13" s="1105"/>
      <c r="B13" s="1250"/>
      <c r="C13" s="1094"/>
      <c r="D13" s="1254"/>
      <c r="E13" s="1" t="s">
        <v>128</v>
      </c>
      <c r="F13" s="178" t="s">
        <v>674</v>
      </c>
      <c r="G13" s="667">
        <v>95495</v>
      </c>
      <c r="H13" s="667">
        <v>277635</v>
      </c>
      <c r="I13" s="667">
        <v>16581.650000000001</v>
      </c>
      <c r="J13" s="667">
        <v>0</v>
      </c>
      <c r="K13" s="685">
        <f>SUM(G13:J13)</f>
        <v>389711.65</v>
      </c>
      <c r="L13" s="1105"/>
      <c r="M13" s="1250"/>
      <c r="N13" s="1094"/>
      <c r="O13" s="1254"/>
      <c r="P13" s="1259" t="s">
        <v>705</v>
      </c>
      <c r="Q13" s="1260">
        <v>275575</v>
      </c>
      <c r="R13" s="1260">
        <v>828461</v>
      </c>
      <c r="S13" s="1260">
        <v>170031.65</v>
      </c>
      <c r="T13" s="1260">
        <v>0</v>
      </c>
      <c r="U13" s="1257">
        <f>SUM(Q13:T14)</f>
        <v>1274067.6499999999</v>
      </c>
      <c r="W13" s="573">
        <f>+U13</f>
        <v>1274067.6499999999</v>
      </c>
    </row>
    <row r="14" spans="1:23" x14ac:dyDescent="0.3">
      <c r="A14" s="1105"/>
      <c r="B14" s="1250"/>
      <c r="C14" s="1094"/>
      <c r="D14" s="1254"/>
      <c r="E14" s="1" t="s">
        <v>131</v>
      </c>
      <c r="F14" s="178" t="s">
        <v>675</v>
      </c>
      <c r="G14" s="667">
        <v>180080</v>
      </c>
      <c r="H14" s="667">
        <v>550826</v>
      </c>
      <c r="I14" s="667">
        <v>153450</v>
      </c>
      <c r="J14" s="667">
        <v>0</v>
      </c>
      <c r="K14" s="685">
        <f>SUM(G14:J14)</f>
        <v>884356</v>
      </c>
      <c r="L14" s="1105"/>
      <c r="M14" s="1250"/>
      <c r="N14" s="1094"/>
      <c r="O14" s="1254"/>
      <c r="P14" s="1251"/>
      <c r="Q14" s="1261"/>
      <c r="R14" s="1261"/>
      <c r="S14" s="1261"/>
      <c r="T14" s="1261"/>
      <c r="U14" s="1258"/>
    </row>
    <row r="15" spans="1:23" x14ac:dyDescent="0.3">
      <c r="A15" s="1105"/>
      <c r="B15" s="1250"/>
      <c r="C15" s="1094"/>
      <c r="D15" s="1254"/>
      <c r="E15" s="1" t="s">
        <v>133</v>
      </c>
      <c r="F15" s="178" t="s">
        <v>610</v>
      </c>
      <c r="G15" s="667">
        <v>0</v>
      </c>
      <c r="H15" s="667">
        <v>0</v>
      </c>
      <c r="I15" s="667">
        <v>0</v>
      </c>
      <c r="J15" s="667">
        <v>0</v>
      </c>
      <c r="K15" s="685">
        <f>SUM(G15:J15)</f>
        <v>0</v>
      </c>
      <c r="L15" s="1105"/>
      <c r="M15" s="1250"/>
      <c r="N15" s="1094"/>
      <c r="O15" s="1254"/>
      <c r="P15" s="178" t="s">
        <v>610</v>
      </c>
      <c r="Q15" s="667">
        <v>0</v>
      </c>
      <c r="R15" s="667">
        <v>0</v>
      </c>
      <c r="S15" s="667">
        <v>0</v>
      </c>
      <c r="T15" s="667">
        <v>0</v>
      </c>
      <c r="U15" s="685">
        <f>SUM(Q15:T15)</f>
        <v>0</v>
      </c>
    </row>
    <row r="16" spans="1:23" x14ac:dyDescent="0.3">
      <c r="A16" s="1105"/>
      <c r="B16" s="1250"/>
      <c r="C16" s="1094"/>
      <c r="D16" s="1254"/>
      <c r="E16" s="1" t="s">
        <v>135</v>
      </c>
      <c r="F16" s="2" t="s">
        <v>676</v>
      </c>
      <c r="G16" s="667">
        <v>0</v>
      </c>
      <c r="H16" s="667">
        <v>0</v>
      </c>
      <c r="I16" s="667">
        <v>0</v>
      </c>
      <c r="J16" s="667">
        <v>0</v>
      </c>
      <c r="K16" s="685">
        <f>SUM(G16:J16)</f>
        <v>0</v>
      </c>
      <c r="L16" s="1105"/>
      <c r="M16" s="1250"/>
      <c r="N16" s="1094"/>
      <c r="O16" s="1254"/>
      <c r="P16" s="2" t="s">
        <v>676</v>
      </c>
      <c r="Q16" s="667">
        <v>0</v>
      </c>
      <c r="R16" s="667">
        <v>0</v>
      </c>
      <c r="S16" s="667">
        <v>0</v>
      </c>
      <c r="T16" s="667">
        <v>0</v>
      </c>
      <c r="U16" s="685">
        <f>SUM(Q16:T16)</f>
        <v>0</v>
      </c>
    </row>
    <row r="17" spans="1:23" ht="14.25" customHeight="1" x14ac:dyDescent="0.3">
      <c r="A17" s="1105"/>
      <c r="B17" s="1250"/>
      <c r="C17" s="1094"/>
      <c r="D17" s="1094" t="s">
        <v>673</v>
      </c>
      <c r="E17" s="670"/>
      <c r="F17" s="671"/>
      <c r="G17" s="684">
        <f>SUM(G18:G21)</f>
        <v>4010</v>
      </c>
      <c r="H17" s="684">
        <f>SUM(H18:H21)</f>
        <v>875</v>
      </c>
      <c r="I17" s="684">
        <f>SUM(I18:I21)</f>
        <v>5115</v>
      </c>
      <c r="J17" s="684">
        <f>SUM(J18:J21)</f>
        <v>0</v>
      </c>
      <c r="K17" s="686">
        <f>SUM(K18:K21)</f>
        <v>10000</v>
      </c>
      <c r="L17" s="1105"/>
      <c r="M17" s="1250"/>
      <c r="N17" s="1094"/>
      <c r="O17" s="1094" t="s">
        <v>704</v>
      </c>
      <c r="P17" s="671"/>
      <c r="Q17" s="684">
        <f>SUM(Q18:Q21)</f>
        <v>4010</v>
      </c>
      <c r="R17" s="684">
        <f>SUM(R18:R21)</f>
        <v>875</v>
      </c>
      <c r="S17" s="684">
        <f>SUM(S18:S21)</f>
        <v>5115</v>
      </c>
      <c r="T17" s="684">
        <f>SUM(T18:T21)</f>
        <v>0</v>
      </c>
      <c r="U17" s="686">
        <f>SUM(U18:U21)</f>
        <v>10000</v>
      </c>
    </row>
    <row r="18" spans="1:23" ht="28.8" x14ac:dyDescent="0.3">
      <c r="A18" s="1105"/>
      <c r="B18" s="1250"/>
      <c r="C18" s="1094"/>
      <c r="D18" s="1094"/>
      <c r="E18" s="1" t="s">
        <v>128</v>
      </c>
      <c r="F18" s="2" t="s">
        <v>677</v>
      </c>
      <c r="G18" s="667">
        <v>0</v>
      </c>
      <c r="H18" s="667">
        <v>0</v>
      </c>
      <c r="I18" s="667">
        <v>0</v>
      </c>
      <c r="J18" s="667">
        <v>0</v>
      </c>
      <c r="K18" s="687">
        <f>SUM(G18:J18)</f>
        <v>0</v>
      </c>
      <c r="L18" s="1105"/>
      <c r="M18" s="1250"/>
      <c r="N18" s="1094"/>
      <c r="O18" s="1094"/>
      <c r="P18" s="2"/>
      <c r="Q18" s="667">
        <v>0</v>
      </c>
      <c r="R18" s="667">
        <v>0</v>
      </c>
      <c r="S18" s="667">
        <v>0</v>
      </c>
      <c r="T18" s="667">
        <v>0</v>
      </c>
      <c r="U18" s="687">
        <f>SUM(Q18:T18)</f>
        <v>0</v>
      </c>
    </row>
    <row r="19" spans="1:23" ht="26.25" customHeight="1" x14ac:dyDescent="0.3">
      <c r="A19" s="1105"/>
      <c r="B19" s="1250"/>
      <c r="C19" s="1094"/>
      <c r="D19" s="1094"/>
      <c r="E19" s="1" t="s">
        <v>131</v>
      </c>
      <c r="F19" s="2" t="s">
        <v>678</v>
      </c>
      <c r="G19" s="667">
        <v>0</v>
      </c>
      <c r="H19" s="672">
        <v>0</v>
      </c>
      <c r="I19" s="672">
        <v>0</v>
      </c>
      <c r="J19" s="672">
        <v>0</v>
      </c>
      <c r="K19" s="687">
        <f>SUM(G19:J19)</f>
        <v>0</v>
      </c>
      <c r="L19" s="1105"/>
      <c r="M19" s="1250"/>
      <c r="N19" s="1094"/>
      <c r="O19" s="1094"/>
      <c r="P19" s="2" t="s">
        <v>282</v>
      </c>
      <c r="Q19" s="667">
        <v>0</v>
      </c>
      <c r="R19" s="672">
        <v>0</v>
      </c>
      <c r="S19" s="672">
        <v>0</v>
      </c>
      <c r="T19" s="672">
        <v>0</v>
      </c>
      <c r="U19" s="687">
        <f>SUM(Q19:T19)</f>
        <v>0</v>
      </c>
    </row>
    <row r="20" spans="1:23" x14ac:dyDescent="0.3">
      <c r="A20" s="1105"/>
      <c r="B20" s="1250"/>
      <c r="C20" s="1094"/>
      <c r="D20" s="1094"/>
      <c r="E20" s="1" t="s">
        <v>133</v>
      </c>
      <c r="F20" s="2" t="s">
        <v>679</v>
      </c>
      <c r="G20" s="667">
        <v>4010</v>
      </c>
      <c r="H20" s="672">
        <v>875</v>
      </c>
      <c r="I20" s="672">
        <v>5115</v>
      </c>
      <c r="J20" s="672"/>
      <c r="K20" s="687">
        <f>SUM(G20:J20)</f>
        <v>10000</v>
      </c>
      <c r="L20" s="1105"/>
      <c r="M20" s="1250"/>
      <c r="N20" s="1094"/>
      <c r="O20" s="1094"/>
      <c r="P20" s="2"/>
      <c r="Q20" s="667"/>
      <c r="R20" s="672"/>
      <c r="S20" s="672"/>
      <c r="T20" s="672"/>
      <c r="U20" s="687">
        <f>SUM(Q20:T20)</f>
        <v>0</v>
      </c>
    </row>
    <row r="21" spans="1:23" ht="24.75" customHeight="1" x14ac:dyDescent="0.3">
      <c r="A21" s="1105"/>
      <c r="B21" s="1251"/>
      <c r="C21" s="1094"/>
      <c r="D21" s="1094"/>
      <c r="E21" s="1" t="s">
        <v>135</v>
      </c>
      <c r="F21" s="2" t="s">
        <v>680</v>
      </c>
      <c r="G21" s="667">
        <v>0</v>
      </c>
      <c r="H21" s="667">
        <v>0</v>
      </c>
      <c r="I21" s="667">
        <v>0</v>
      </c>
      <c r="J21" s="667">
        <v>0</v>
      </c>
      <c r="K21" s="687">
        <f>SUM(G21:J21)</f>
        <v>0</v>
      </c>
      <c r="L21" s="1105"/>
      <c r="M21" s="1251"/>
      <c r="N21" s="1094"/>
      <c r="O21" s="1094"/>
      <c r="P21" s="2" t="s">
        <v>706</v>
      </c>
      <c r="Q21" s="667">
        <v>4010</v>
      </c>
      <c r="R21" s="672">
        <v>875</v>
      </c>
      <c r="S21" s="672">
        <v>5115</v>
      </c>
      <c r="T21" s="667">
        <v>0</v>
      </c>
      <c r="U21" s="687">
        <f>SUM(Q21:T21)</f>
        <v>10000</v>
      </c>
      <c r="W21" s="573">
        <f>+U21</f>
        <v>10000</v>
      </c>
    </row>
    <row r="22" spans="1:23" x14ac:dyDescent="0.3">
      <c r="A22" s="1094" t="s">
        <v>699</v>
      </c>
      <c r="B22" s="1254" t="s">
        <v>701</v>
      </c>
      <c r="C22" s="1254" t="s">
        <v>683</v>
      </c>
      <c r="D22" s="1254" t="s">
        <v>682</v>
      </c>
      <c r="E22" s="673"/>
      <c r="F22" s="674"/>
      <c r="G22" s="675">
        <f>SUM(G23)</f>
        <v>0</v>
      </c>
      <c r="H22" s="675">
        <f>SUM(H23)</f>
        <v>0</v>
      </c>
      <c r="I22" s="675">
        <f>SUM(I23)</f>
        <v>0</v>
      </c>
      <c r="J22" s="675">
        <f>SUM(J23)</f>
        <v>550000</v>
      </c>
      <c r="K22" s="689">
        <f>SUM(K23)</f>
        <v>550000</v>
      </c>
      <c r="L22" s="1094" t="s">
        <v>699</v>
      </c>
      <c r="M22" s="1254" t="s">
        <v>701</v>
      </c>
      <c r="N22" s="1094" t="s">
        <v>683</v>
      </c>
      <c r="O22" s="1094" t="s">
        <v>714</v>
      </c>
      <c r="P22" s="674"/>
      <c r="Q22" s="675">
        <f>SUM(Q23)</f>
        <v>0</v>
      </c>
      <c r="R22" s="675">
        <f>SUM(R23)</f>
        <v>0</v>
      </c>
      <c r="S22" s="675">
        <f>SUM(S23)</f>
        <v>0</v>
      </c>
      <c r="T22" s="675">
        <f>SUM(T23)</f>
        <v>550000</v>
      </c>
      <c r="U22" s="689">
        <f>SUM(U23)</f>
        <v>550000</v>
      </c>
    </row>
    <row r="23" spans="1:23" ht="143.25" customHeight="1" x14ac:dyDescent="0.3">
      <c r="A23" s="1105"/>
      <c r="B23" s="1255"/>
      <c r="C23" s="1254"/>
      <c r="D23" s="1254"/>
      <c r="E23" s="7" t="s">
        <v>133</v>
      </c>
      <c r="F23" s="8" t="s">
        <v>681</v>
      </c>
      <c r="G23" s="665"/>
      <c r="H23" s="665"/>
      <c r="I23" s="665"/>
      <c r="J23" s="667">
        <v>550000</v>
      </c>
      <c r="K23" s="666">
        <f>SUM(G23:J23)</f>
        <v>550000</v>
      </c>
      <c r="L23" s="1105"/>
      <c r="M23" s="1255"/>
      <c r="N23" s="1094"/>
      <c r="O23" s="1094"/>
      <c r="P23" s="8" t="s">
        <v>713</v>
      </c>
      <c r="Q23" s="665"/>
      <c r="R23" s="665"/>
      <c r="S23" s="665"/>
      <c r="T23" s="667">
        <v>550000</v>
      </c>
      <c r="U23" s="666">
        <f>SUM(Q23:T23)</f>
        <v>550000</v>
      </c>
      <c r="W23" s="573">
        <f>+U23</f>
        <v>550000</v>
      </c>
    </row>
    <row r="24" spans="1:23" s="4" customFormat="1" ht="20.25" customHeight="1" x14ac:dyDescent="0.3">
      <c r="A24" s="1094" t="s">
        <v>692</v>
      </c>
      <c r="B24" s="1094" t="s">
        <v>691</v>
      </c>
      <c r="C24" s="1094" t="s">
        <v>684</v>
      </c>
      <c r="D24" s="1094" t="s">
        <v>685</v>
      </c>
      <c r="E24" s="690"/>
      <c r="F24" s="690"/>
      <c r="G24" s="691">
        <f>SUM(G25:G29)</f>
        <v>0</v>
      </c>
      <c r="H24" s="691">
        <f>SUM(H25:H29)</f>
        <v>7375</v>
      </c>
      <c r="I24" s="691">
        <f>SUM(I25:I29)</f>
        <v>82625</v>
      </c>
      <c r="J24" s="691">
        <f>SUM(J25:J29)</f>
        <v>0</v>
      </c>
      <c r="K24" s="692">
        <f>SUM(K25:K29)</f>
        <v>90000</v>
      </c>
      <c r="L24" s="1094" t="s">
        <v>692</v>
      </c>
      <c r="M24" s="1094" t="s">
        <v>843</v>
      </c>
      <c r="N24" s="1094" t="s">
        <v>791</v>
      </c>
      <c r="O24" s="2"/>
      <c r="P24" s="690"/>
      <c r="Q24" s="691">
        <f>SUM(Q25:Q29)</f>
        <v>0</v>
      </c>
      <c r="R24" s="691">
        <f>SUM(R25:R29)</f>
        <v>7375</v>
      </c>
      <c r="S24" s="691">
        <f>SUM(S25:S29)</f>
        <v>82625</v>
      </c>
      <c r="T24" s="691">
        <f>SUM(T25:T29)</f>
        <v>0</v>
      </c>
      <c r="U24" s="692">
        <f>SUM(U25:U29)</f>
        <v>90000</v>
      </c>
    </row>
    <row r="25" spans="1:23" ht="19.5" customHeight="1" x14ac:dyDescent="0.3">
      <c r="A25" s="1094"/>
      <c r="B25" s="1105"/>
      <c r="C25" s="1094"/>
      <c r="D25" s="1094"/>
      <c r="E25" s="7" t="s">
        <v>128</v>
      </c>
      <c r="F25" s="8" t="s">
        <v>690</v>
      </c>
      <c r="G25" s="677"/>
      <c r="H25" s="677"/>
      <c r="I25" s="677">
        <f>59500+5400+6500+5600</f>
        <v>77000</v>
      </c>
      <c r="J25" s="677"/>
      <c r="K25" s="688">
        <f>SUM(G25:J25)</f>
        <v>77000</v>
      </c>
      <c r="L25" s="1094"/>
      <c r="M25" s="1105"/>
      <c r="N25" s="1094"/>
      <c r="O25" s="64" t="s">
        <v>707</v>
      </c>
      <c r="P25" s="64" t="s">
        <v>22</v>
      </c>
      <c r="Q25" s="677"/>
      <c r="R25" s="677"/>
      <c r="S25" s="677"/>
      <c r="T25" s="677"/>
      <c r="U25" s="688">
        <f>SUM(Q25:T25)</f>
        <v>0</v>
      </c>
    </row>
    <row r="26" spans="1:23" x14ac:dyDescent="0.3">
      <c r="A26" s="1094"/>
      <c r="B26" s="1105"/>
      <c r="C26" s="1094"/>
      <c r="D26" s="1094"/>
      <c r="E26" s="7" t="s">
        <v>131</v>
      </c>
      <c r="F26" s="8" t="s">
        <v>686</v>
      </c>
      <c r="G26" s="677"/>
      <c r="H26" s="677"/>
      <c r="I26" s="677"/>
      <c r="J26" s="677"/>
      <c r="K26" s="688">
        <f>SUM(G26:J26)</f>
        <v>0</v>
      </c>
      <c r="L26" s="1094"/>
      <c r="M26" s="1105"/>
      <c r="N26" s="1094"/>
      <c r="O26" s="64" t="s">
        <v>708</v>
      </c>
      <c r="P26" s="64" t="s">
        <v>23</v>
      </c>
      <c r="Q26" s="677"/>
      <c r="R26" s="677">
        <v>7375</v>
      </c>
      <c r="S26" s="677">
        <v>82625</v>
      </c>
      <c r="T26" s="677"/>
      <c r="U26" s="688">
        <f>SUM(Q26:T26)</f>
        <v>90000</v>
      </c>
      <c r="W26" s="617">
        <f>+U26</f>
        <v>90000</v>
      </c>
    </row>
    <row r="27" spans="1:23" ht="28.8" x14ac:dyDescent="0.3">
      <c r="A27" s="1094"/>
      <c r="B27" s="1105"/>
      <c r="C27" s="1094"/>
      <c r="D27" s="1094"/>
      <c r="E27" s="7" t="s">
        <v>133</v>
      </c>
      <c r="F27" s="8" t="s">
        <v>687</v>
      </c>
      <c r="G27" s="677"/>
      <c r="H27" s="677"/>
      <c r="I27" s="677"/>
      <c r="J27" s="677"/>
      <c r="K27" s="688">
        <f>SUM(G27:J27)</f>
        <v>0</v>
      </c>
      <c r="L27" s="1094"/>
      <c r="M27" s="1105"/>
      <c r="N27" s="1094"/>
      <c r="O27" s="64" t="s">
        <v>709</v>
      </c>
      <c r="P27" s="64" t="s">
        <v>25</v>
      </c>
      <c r="Q27" s="677"/>
      <c r="R27" s="677"/>
      <c r="S27" s="677"/>
      <c r="T27" s="677"/>
      <c r="U27" s="688">
        <f>SUM(Q27:T27)</f>
        <v>0</v>
      </c>
    </row>
    <row r="28" spans="1:23" ht="37.5" customHeight="1" x14ac:dyDescent="0.3">
      <c r="A28" s="1094"/>
      <c r="B28" s="1105"/>
      <c r="C28" s="1094"/>
      <c r="D28" s="1094"/>
      <c r="E28" s="7" t="s">
        <v>135</v>
      </c>
      <c r="F28" s="8" t="s">
        <v>688</v>
      </c>
      <c r="G28" s="677"/>
      <c r="H28" s="677">
        <v>7375</v>
      </c>
      <c r="I28" s="677">
        <v>625</v>
      </c>
      <c r="J28" s="677"/>
      <c r="K28" s="688">
        <f>SUM(G28:J28)</f>
        <v>8000</v>
      </c>
      <c r="L28" s="1094"/>
      <c r="M28" s="1105"/>
      <c r="N28" s="1094"/>
      <c r="O28" s="64" t="s">
        <v>710</v>
      </c>
      <c r="P28" s="64" t="s">
        <v>591</v>
      </c>
      <c r="Q28" s="677"/>
      <c r="R28" s="677"/>
      <c r="S28" s="677"/>
      <c r="T28" s="677"/>
      <c r="U28" s="688">
        <f>SUM(Q28:T28)</f>
        <v>0</v>
      </c>
    </row>
    <row r="29" spans="1:23" ht="24.75" customHeight="1" x14ac:dyDescent="0.3">
      <c r="A29" s="1094"/>
      <c r="B29" s="1105"/>
      <c r="C29" s="1094"/>
      <c r="D29" s="1094"/>
      <c r="E29" s="7" t="s">
        <v>137</v>
      </c>
      <c r="F29" s="8" t="s">
        <v>689</v>
      </c>
      <c r="G29" s="677"/>
      <c r="H29" s="677"/>
      <c r="I29" s="677">
        <v>5000</v>
      </c>
      <c r="J29" s="677"/>
      <c r="K29" s="688">
        <f>SUM(G29:J29)</f>
        <v>5000</v>
      </c>
      <c r="L29" s="1094"/>
      <c r="M29" s="1105"/>
      <c r="N29" s="1094"/>
      <c r="O29" s="2"/>
      <c r="P29" s="8"/>
      <c r="Q29" s="677"/>
      <c r="R29" s="677"/>
      <c r="S29" s="677"/>
      <c r="T29" s="677"/>
      <c r="U29" s="688">
        <f>SUM(Q29:T29)</f>
        <v>0</v>
      </c>
    </row>
    <row r="30" spans="1:23" x14ac:dyDescent="0.3">
      <c r="A30" s="1075" t="s">
        <v>693</v>
      </c>
      <c r="B30" s="1075" t="s">
        <v>694</v>
      </c>
      <c r="C30" s="1075" t="s">
        <v>695</v>
      </c>
      <c r="D30" s="1075" t="s">
        <v>696</v>
      </c>
      <c r="E30" s="679"/>
      <c r="F30" s="680"/>
      <c r="G30" s="681">
        <f>SUM(G31)</f>
        <v>0</v>
      </c>
      <c r="H30" s="681">
        <f>SUM(H31)</f>
        <v>0</v>
      </c>
      <c r="I30" s="681">
        <f>SUM(I31)</f>
        <v>24440.6</v>
      </c>
      <c r="J30" s="681">
        <f>SUM(J31)</f>
        <v>0</v>
      </c>
      <c r="K30" s="693">
        <f>SUM(K31)</f>
        <v>24440.6</v>
      </c>
      <c r="L30" s="1075" t="s">
        <v>693</v>
      </c>
      <c r="M30" s="1075" t="s">
        <v>694</v>
      </c>
      <c r="N30" s="1075" t="s">
        <v>385</v>
      </c>
      <c r="O30" s="1075" t="s">
        <v>711</v>
      </c>
      <c r="P30" s="680"/>
      <c r="Q30" s="681">
        <f>SUM(Q31)</f>
        <v>0</v>
      </c>
      <c r="R30" s="681">
        <f>SUM(R31)</f>
        <v>0</v>
      </c>
      <c r="S30" s="681">
        <f>SUM(S31)</f>
        <v>24440.6</v>
      </c>
      <c r="T30" s="681">
        <f>SUM(T31)</f>
        <v>0</v>
      </c>
      <c r="U30" s="693">
        <f>SUM(U31)</f>
        <v>24440.6</v>
      </c>
    </row>
    <row r="31" spans="1:23" s="4" customFormat="1" ht="62.25" customHeight="1" x14ac:dyDescent="0.3">
      <c r="A31" s="1077"/>
      <c r="B31" s="1077"/>
      <c r="C31" s="1077"/>
      <c r="D31" s="1077"/>
      <c r="E31" s="7" t="s">
        <v>128</v>
      </c>
      <c r="F31" s="8" t="s">
        <v>697</v>
      </c>
      <c r="G31" s="677"/>
      <c r="H31" s="677"/>
      <c r="I31" s="677">
        <v>24440.6</v>
      </c>
      <c r="J31" s="677"/>
      <c r="K31" s="688">
        <f>SUM(G31:J31)</f>
        <v>24440.6</v>
      </c>
      <c r="L31" s="1077"/>
      <c r="M31" s="1077"/>
      <c r="N31" s="1077"/>
      <c r="O31" s="1077"/>
      <c r="P31" s="8" t="s">
        <v>170</v>
      </c>
      <c r="Q31" s="677"/>
      <c r="R31" s="677"/>
      <c r="S31" s="677">
        <v>24440.6</v>
      </c>
      <c r="T31" s="677"/>
      <c r="U31" s="688">
        <f>SUM(Q31:T31)</f>
        <v>24440.6</v>
      </c>
      <c r="V31" s="660">
        <f>+U31</f>
        <v>24440.6</v>
      </c>
    </row>
  </sheetData>
  <mergeCells count="43">
    <mergeCell ref="L30:L31"/>
    <mergeCell ref="M30:M31"/>
    <mergeCell ref="N30:N31"/>
    <mergeCell ref="O30:O31"/>
    <mergeCell ref="L22:L23"/>
    <mergeCell ref="M22:M23"/>
    <mergeCell ref="N22:N23"/>
    <mergeCell ref="O22:O23"/>
    <mergeCell ref="L24:L29"/>
    <mergeCell ref="M24:M29"/>
    <mergeCell ref="N24:N29"/>
    <mergeCell ref="A24:A29"/>
    <mergeCell ref="D12:D16"/>
    <mergeCell ref="D17:D21"/>
    <mergeCell ref="C12:C21"/>
    <mergeCell ref="L9:U9"/>
    <mergeCell ref="L12:L21"/>
    <mergeCell ref="M12:M21"/>
    <mergeCell ref="N12:N21"/>
    <mergeCell ref="O12:O16"/>
    <mergeCell ref="O17:O21"/>
    <mergeCell ref="U13:U14"/>
    <mergeCell ref="P13:P14"/>
    <mergeCell ref="Q13:Q14"/>
    <mergeCell ref="R13:R14"/>
    <mergeCell ref="S13:S14"/>
    <mergeCell ref="T13:T14"/>
    <mergeCell ref="E10:F10"/>
    <mergeCell ref="A12:A21"/>
    <mergeCell ref="B12:B21"/>
    <mergeCell ref="A2:B2"/>
    <mergeCell ref="D30:D31"/>
    <mergeCell ref="C30:C31"/>
    <mergeCell ref="B30:B31"/>
    <mergeCell ref="A30:A31"/>
    <mergeCell ref="A9:K9"/>
    <mergeCell ref="D22:D23"/>
    <mergeCell ref="C22:C23"/>
    <mergeCell ref="B22:B23"/>
    <mergeCell ref="A22:A23"/>
    <mergeCell ref="D24:D29"/>
    <mergeCell ref="C24:C29"/>
    <mergeCell ref="B24:B29"/>
  </mergeCells>
  <phoneticPr fontId="2" type="noConversion"/>
  <pageMargins left="0.7" right="0.7" top="0.75" bottom="0.75" header="0.3" footer="0.3"/>
  <legacy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6"/>
  <sheetViews>
    <sheetView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J27" sqref="J27"/>
    </sheetView>
  </sheetViews>
  <sheetFormatPr baseColWidth="10" defaultRowHeight="14.4" x14ac:dyDescent="0.3"/>
  <cols>
    <col min="1" max="1" width="13.109375" bestFit="1" customWidth="1"/>
    <col min="2" max="2" width="17.5546875" customWidth="1"/>
    <col min="3" max="3" width="16" style="574" customWidth="1"/>
    <col min="4" max="9" width="11.44140625" style="573" bestFit="1" customWidth="1"/>
    <col min="10" max="10" width="12.33203125" style="573" bestFit="1" customWidth="1"/>
    <col min="11" max="14" width="12.44140625" style="573" bestFit="1" customWidth="1"/>
    <col min="15" max="15" width="13.88671875" style="573" bestFit="1" customWidth="1"/>
    <col min="16" max="26" width="12.44140625" style="573" bestFit="1" customWidth="1"/>
    <col min="27" max="27" width="13.88671875" style="573" bestFit="1" customWidth="1"/>
    <col min="28" max="28" width="11.44140625" style="597" customWidth="1"/>
    <col min="29" max="29" width="16.6640625" style="591" customWidth="1"/>
  </cols>
  <sheetData>
    <row r="1" spans="1:29" s="4" customFormat="1" ht="19.95" customHeight="1" x14ac:dyDescent="0.3">
      <c r="A1" s="137" t="s">
        <v>637</v>
      </c>
      <c r="C1" s="613"/>
      <c r="D1" s="549"/>
      <c r="E1" s="549"/>
      <c r="F1" s="549"/>
      <c r="G1" s="549"/>
      <c r="H1" s="549"/>
      <c r="I1" s="549"/>
      <c r="J1" s="549"/>
      <c r="K1" s="549"/>
      <c r="L1" s="549"/>
      <c r="M1" s="549"/>
      <c r="N1" s="549"/>
      <c r="O1" s="549"/>
      <c r="P1" s="549"/>
      <c r="Q1" s="549"/>
      <c r="R1" s="549"/>
      <c r="S1" s="549"/>
      <c r="T1" s="549"/>
      <c r="U1" s="549"/>
      <c r="V1" s="549"/>
      <c r="W1" s="549"/>
      <c r="X1" s="549"/>
      <c r="Y1" s="549"/>
      <c r="Z1" s="549"/>
      <c r="AA1" s="549"/>
      <c r="AB1" s="541"/>
      <c r="AC1" s="614"/>
    </row>
    <row r="2" spans="1:29" s="586" customFormat="1" ht="28.8" x14ac:dyDescent="0.3">
      <c r="A2" s="606" t="s">
        <v>352</v>
      </c>
      <c r="B2" s="606" t="s">
        <v>626</v>
      </c>
      <c r="C2" s="606" t="s">
        <v>351</v>
      </c>
      <c r="D2" s="607">
        <v>44228</v>
      </c>
      <c r="E2" s="607">
        <v>44256</v>
      </c>
      <c r="F2" s="607">
        <v>44287</v>
      </c>
      <c r="G2" s="607">
        <v>44317</v>
      </c>
      <c r="H2" s="607">
        <v>44348</v>
      </c>
      <c r="I2" s="607">
        <v>44378</v>
      </c>
      <c r="J2" s="607">
        <v>44409</v>
      </c>
      <c r="K2" s="607">
        <v>44440</v>
      </c>
      <c r="L2" s="607">
        <v>44470</v>
      </c>
      <c r="M2" s="607">
        <v>44501</v>
      </c>
      <c r="N2" s="607">
        <v>44531</v>
      </c>
      <c r="O2" s="607" t="s">
        <v>639</v>
      </c>
      <c r="P2" s="18">
        <v>44562</v>
      </c>
      <c r="Q2" s="18">
        <v>44593</v>
      </c>
      <c r="R2" s="18">
        <v>44621</v>
      </c>
      <c r="S2" s="18">
        <v>44652</v>
      </c>
      <c r="T2" s="18">
        <v>44682</v>
      </c>
      <c r="U2" s="18">
        <v>44713</v>
      </c>
      <c r="V2" s="18">
        <v>44743</v>
      </c>
      <c r="W2" s="18">
        <v>44774</v>
      </c>
      <c r="X2" s="18">
        <v>44805</v>
      </c>
      <c r="Y2" s="18">
        <v>44835</v>
      </c>
      <c r="Z2" s="18">
        <v>44866</v>
      </c>
      <c r="AA2" s="18" t="s">
        <v>638</v>
      </c>
      <c r="AB2" s="607" t="s">
        <v>632</v>
      </c>
      <c r="AC2" s="608"/>
    </row>
    <row r="3" spans="1:29" s="627" customFormat="1" ht="15" x14ac:dyDescent="0.25">
      <c r="A3" s="622"/>
      <c r="B3" s="623"/>
      <c r="C3" s="623"/>
      <c r="D3" s="624">
        <f>SUM(D4:D11)</f>
        <v>34000</v>
      </c>
      <c r="E3" s="624">
        <f t="shared" ref="E3:Z3" si="0">SUM(E4:E11)</f>
        <v>34000</v>
      </c>
      <c r="F3" s="624">
        <f t="shared" si="0"/>
        <v>22000</v>
      </c>
      <c r="G3" s="624">
        <f t="shared" si="0"/>
        <v>56000</v>
      </c>
      <c r="H3" s="624">
        <f t="shared" si="0"/>
        <v>90000</v>
      </c>
      <c r="I3" s="624">
        <f t="shared" si="0"/>
        <v>90000</v>
      </c>
      <c r="J3" s="624">
        <f t="shared" si="0"/>
        <v>136000</v>
      </c>
      <c r="K3" s="624">
        <f t="shared" si="0"/>
        <v>136000</v>
      </c>
      <c r="L3" s="624">
        <f t="shared" si="0"/>
        <v>136000</v>
      </c>
      <c r="M3" s="624">
        <f t="shared" si="0"/>
        <v>136000</v>
      </c>
      <c r="N3" s="624">
        <f t="shared" si="0"/>
        <v>136000</v>
      </c>
      <c r="O3" s="624">
        <f>SUM(D3:N3)</f>
        <v>1006000</v>
      </c>
      <c r="P3" s="624">
        <f t="shared" si="0"/>
        <v>136000</v>
      </c>
      <c r="Q3" s="624">
        <f t="shared" si="0"/>
        <v>136000</v>
      </c>
      <c r="R3" s="624">
        <f t="shared" si="0"/>
        <v>136000</v>
      </c>
      <c r="S3" s="624">
        <f t="shared" si="0"/>
        <v>136000</v>
      </c>
      <c r="T3" s="624">
        <f t="shared" si="0"/>
        <v>136000</v>
      </c>
      <c r="U3" s="624">
        <f t="shared" si="0"/>
        <v>136000</v>
      </c>
      <c r="V3" s="624">
        <f t="shared" si="0"/>
        <v>136000</v>
      </c>
      <c r="W3" s="624">
        <f t="shared" si="0"/>
        <v>136000</v>
      </c>
      <c r="X3" s="624">
        <f t="shared" si="0"/>
        <v>136000</v>
      </c>
      <c r="Y3" s="624">
        <f t="shared" si="0"/>
        <v>136000</v>
      </c>
      <c r="Z3" s="624">
        <f t="shared" si="0"/>
        <v>136000</v>
      </c>
      <c r="AA3" s="624">
        <f>SUM(P3:Z3)</f>
        <v>1496000</v>
      </c>
      <c r="AB3" s="625"/>
      <c r="AC3" s="626"/>
    </row>
    <row r="4" spans="1:29" s="31" customFormat="1" x14ac:dyDescent="0.3">
      <c r="A4" s="1202" t="s">
        <v>337</v>
      </c>
      <c r="B4" s="599" t="s">
        <v>620</v>
      </c>
      <c r="C4" s="578">
        <f t="shared" ref="C4:C11" si="1">SUM(D4:Z4)</f>
        <v>484000</v>
      </c>
      <c r="D4" s="575">
        <v>22000</v>
      </c>
      <c r="E4" s="575">
        <v>22000</v>
      </c>
      <c r="F4" s="575">
        <v>22000</v>
      </c>
      <c r="G4" s="575">
        <v>22000</v>
      </c>
      <c r="H4" s="575">
        <v>22000</v>
      </c>
      <c r="I4" s="575">
        <v>22000</v>
      </c>
      <c r="J4" s="575">
        <v>22000</v>
      </c>
      <c r="K4" s="575">
        <v>22000</v>
      </c>
      <c r="L4" s="575">
        <v>22000</v>
      </c>
      <c r="M4" s="575">
        <v>22000</v>
      </c>
      <c r="N4" s="575">
        <v>22000</v>
      </c>
      <c r="O4" s="575"/>
      <c r="P4" s="575">
        <v>22000</v>
      </c>
      <c r="Q4" s="575">
        <v>22000</v>
      </c>
      <c r="R4" s="575">
        <v>22000</v>
      </c>
      <c r="S4" s="575">
        <v>22000</v>
      </c>
      <c r="T4" s="575">
        <v>22000</v>
      </c>
      <c r="U4" s="575">
        <v>22000</v>
      </c>
      <c r="V4" s="575">
        <v>22000</v>
      </c>
      <c r="W4" s="575">
        <v>22000</v>
      </c>
      <c r="X4" s="575">
        <v>22000</v>
      </c>
      <c r="Y4" s="575">
        <v>22000</v>
      </c>
      <c r="Z4" s="575">
        <v>22000</v>
      </c>
      <c r="AA4" s="575"/>
      <c r="AB4" s="592"/>
      <c r="AC4" s="587"/>
    </row>
    <row r="5" spans="1:29" x14ac:dyDescent="0.3">
      <c r="A5" s="1202"/>
      <c r="B5" s="600" t="s">
        <v>621</v>
      </c>
      <c r="C5" s="578">
        <f t="shared" si="1"/>
        <v>216000</v>
      </c>
      <c r="D5" s="576">
        <v>12000</v>
      </c>
      <c r="E5" s="576">
        <v>12000</v>
      </c>
      <c r="F5" s="576"/>
      <c r="G5" s="576"/>
      <c r="H5" s="576"/>
      <c r="I5" s="576"/>
      <c r="J5" s="576">
        <v>12000</v>
      </c>
      <c r="K5" s="576">
        <v>12000</v>
      </c>
      <c r="L5" s="576">
        <v>12000</v>
      </c>
      <c r="M5" s="576">
        <v>12000</v>
      </c>
      <c r="N5" s="576">
        <v>12000</v>
      </c>
      <c r="O5" s="576"/>
      <c r="P5" s="576">
        <v>12000</v>
      </c>
      <c r="Q5" s="576">
        <v>12000</v>
      </c>
      <c r="R5" s="576">
        <v>12000</v>
      </c>
      <c r="S5" s="576">
        <v>12000</v>
      </c>
      <c r="T5" s="576">
        <v>12000</v>
      </c>
      <c r="U5" s="576">
        <v>12000</v>
      </c>
      <c r="V5" s="576">
        <v>12000</v>
      </c>
      <c r="W5" s="576">
        <v>12000</v>
      </c>
      <c r="X5" s="576">
        <v>12000</v>
      </c>
      <c r="Y5" s="576">
        <v>12000</v>
      </c>
      <c r="Z5" s="576">
        <v>12000</v>
      </c>
      <c r="AA5" s="576"/>
      <c r="AB5" s="593"/>
      <c r="AC5" s="587"/>
    </row>
    <row r="6" spans="1:29" x14ac:dyDescent="0.3">
      <c r="A6" s="1202"/>
      <c r="B6" s="601" t="s">
        <v>622</v>
      </c>
      <c r="C6" s="578">
        <f t="shared" si="1"/>
        <v>407000</v>
      </c>
      <c r="D6" s="576"/>
      <c r="E6" s="576"/>
      <c r="F6" s="576"/>
      <c r="G6" s="576">
        <v>11000</v>
      </c>
      <c r="H6" s="576">
        <v>22000</v>
      </c>
      <c r="I6" s="576">
        <v>22000</v>
      </c>
      <c r="J6" s="576">
        <v>22000</v>
      </c>
      <c r="K6" s="576">
        <v>22000</v>
      </c>
      <c r="L6" s="576">
        <v>22000</v>
      </c>
      <c r="M6" s="576">
        <v>22000</v>
      </c>
      <c r="N6" s="576">
        <v>22000</v>
      </c>
      <c r="O6" s="576"/>
      <c r="P6" s="576">
        <v>22000</v>
      </c>
      <c r="Q6" s="576">
        <v>22000</v>
      </c>
      <c r="R6" s="576">
        <v>22000</v>
      </c>
      <c r="S6" s="576">
        <v>22000</v>
      </c>
      <c r="T6" s="576">
        <v>22000</v>
      </c>
      <c r="U6" s="576">
        <v>22000</v>
      </c>
      <c r="V6" s="576">
        <v>22000</v>
      </c>
      <c r="W6" s="576">
        <v>22000</v>
      </c>
      <c r="X6" s="576">
        <v>22000</v>
      </c>
      <c r="Y6" s="576">
        <v>22000</v>
      </c>
      <c r="Z6" s="576">
        <v>22000</v>
      </c>
      <c r="AA6" s="576"/>
      <c r="AB6" s="593"/>
      <c r="AC6" s="587"/>
    </row>
    <row r="7" spans="1:29" x14ac:dyDescent="0.3">
      <c r="A7" s="1202"/>
      <c r="B7" s="602" t="s">
        <v>623</v>
      </c>
      <c r="C7" s="578">
        <f t="shared" si="1"/>
        <v>222000</v>
      </c>
      <c r="D7" s="576"/>
      <c r="E7" s="576"/>
      <c r="F7" s="576"/>
      <c r="G7" s="576">
        <v>6000</v>
      </c>
      <c r="H7" s="576">
        <v>12000</v>
      </c>
      <c r="I7" s="576">
        <v>12000</v>
      </c>
      <c r="J7" s="576">
        <v>12000</v>
      </c>
      <c r="K7" s="576">
        <v>12000</v>
      </c>
      <c r="L7" s="576">
        <v>12000</v>
      </c>
      <c r="M7" s="576">
        <v>12000</v>
      </c>
      <c r="N7" s="576">
        <v>12000</v>
      </c>
      <c r="O7" s="576"/>
      <c r="P7" s="576">
        <v>12000</v>
      </c>
      <c r="Q7" s="576">
        <v>12000</v>
      </c>
      <c r="R7" s="576">
        <v>12000</v>
      </c>
      <c r="S7" s="576">
        <v>12000</v>
      </c>
      <c r="T7" s="576">
        <v>12000</v>
      </c>
      <c r="U7" s="576">
        <v>12000</v>
      </c>
      <c r="V7" s="576">
        <v>12000</v>
      </c>
      <c r="W7" s="576">
        <v>12000</v>
      </c>
      <c r="X7" s="576">
        <v>12000</v>
      </c>
      <c r="Y7" s="576">
        <v>12000</v>
      </c>
      <c r="Z7" s="576">
        <v>12000</v>
      </c>
      <c r="AA7" s="576"/>
      <c r="AB7" s="593"/>
      <c r="AC7" s="587"/>
    </row>
    <row r="8" spans="1:29" x14ac:dyDescent="0.3">
      <c r="A8" s="1202"/>
      <c r="B8" s="601" t="s">
        <v>622</v>
      </c>
      <c r="C8" s="578">
        <f t="shared" si="1"/>
        <v>352000</v>
      </c>
      <c r="D8" s="576"/>
      <c r="E8" s="576"/>
      <c r="F8" s="576"/>
      <c r="G8" s="576"/>
      <c r="H8" s="576"/>
      <c r="I8" s="576"/>
      <c r="J8" s="576">
        <v>22000</v>
      </c>
      <c r="K8" s="576">
        <v>22000</v>
      </c>
      <c r="L8" s="576">
        <v>22000</v>
      </c>
      <c r="M8" s="576">
        <v>22000</v>
      </c>
      <c r="N8" s="576">
        <v>22000</v>
      </c>
      <c r="O8" s="576"/>
      <c r="P8" s="576">
        <v>22000</v>
      </c>
      <c r="Q8" s="576">
        <v>22000</v>
      </c>
      <c r="R8" s="576">
        <v>22000</v>
      </c>
      <c r="S8" s="576">
        <v>22000</v>
      </c>
      <c r="T8" s="576">
        <v>22000</v>
      </c>
      <c r="U8" s="576">
        <v>22000</v>
      </c>
      <c r="V8" s="576">
        <v>22000</v>
      </c>
      <c r="W8" s="576">
        <v>22000</v>
      </c>
      <c r="X8" s="576">
        <v>22000</v>
      </c>
      <c r="Y8" s="576">
        <v>22000</v>
      </c>
      <c r="Z8" s="576">
        <v>22000</v>
      </c>
      <c r="AA8" s="576"/>
      <c r="AB8" s="593"/>
      <c r="AC8" s="587"/>
    </row>
    <row r="9" spans="1:29" x14ac:dyDescent="0.3">
      <c r="A9" s="1202"/>
      <c r="B9" s="603" t="s">
        <v>623</v>
      </c>
      <c r="C9" s="578">
        <f t="shared" si="1"/>
        <v>192000</v>
      </c>
      <c r="D9" s="577"/>
      <c r="E9" s="577"/>
      <c r="F9" s="577"/>
      <c r="G9" s="577"/>
      <c r="H9" s="577"/>
      <c r="I9" s="577"/>
      <c r="J9" s="577">
        <v>12000</v>
      </c>
      <c r="K9" s="577">
        <v>12000</v>
      </c>
      <c r="L9" s="577">
        <v>12000</v>
      </c>
      <c r="M9" s="577">
        <v>12000</v>
      </c>
      <c r="N9" s="577">
        <v>12000</v>
      </c>
      <c r="O9" s="577"/>
      <c r="P9" s="577">
        <v>12000</v>
      </c>
      <c r="Q9" s="577">
        <v>12000</v>
      </c>
      <c r="R9" s="577">
        <v>12000</v>
      </c>
      <c r="S9" s="577">
        <v>12000</v>
      </c>
      <c r="T9" s="577">
        <v>12000</v>
      </c>
      <c r="U9" s="577">
        <v>12000</v>
      </c>
      <c r="V9" s="577">
        <v>12000</v>
      </c>
      <c r="W9" s="577">
        <v>12000</v>
      </c>
      <c r="X9" s="577">
        <v>12000</v>
      </c>
      <c r="Y9" s="577">
        <v>12000</v>
      </c>
      <c r="Z9" s="577">
        <v>12000</v>
      </c>
      <c r="AA9" s="577"/>
      <c r="AB9" s="594"/>
      <c r="AC9" s="588"/>
    </row>
    <row r="10" spans="1:29" x14ac:dyDescent="0.3">
      <c r="A10" s="1202"/>
      <c r="B10" s="604" t="s">
        <v>624</v>
      </c>
      <c r="C10" s="578">
        <f t="shared" si="1"/>
        <v>407000</v>
      </c>
      <c r="D10" s="576"/>
      <c r="E10" s="576"/>
      <c r="F10" s="576"/>
      <c r="G10" s="576">
        <v>11000</v>
      </c>
      <c r="H10" s="576">
        <v>22000</v>
      </c>
      <c r="I10" s="576">
        <v>22000</v>
      </c>
      <c r="J10" s="576">
        <v>22000</v>
      </c>
      <c r="K10" s="576">
        <v>22000</v>
      </c>
      <c r="L10" s="576">
        <v>22000</v>
      </c>
      <c r="M10" s="576">
        <v>22000</v>
      </c>
      <c r="N10" s="576">
        <v>22000</v>
      </c>
      <c r="O10" s="576"/>
      <c r="P10" s="576">
        <v>22000</v>
      </c>
      <c r="Q10" s="576">
        <v>22000</v>
      </c>
      <c r="R10" s="576">
        <v>22000</v>
      </c>
      <c r="S10" s="576">
        <v>22000</v>
      </c>
      <c r="T10" s="576">
        <v>22000</v>
      </c>
      <c r="U10" s="576">
        <v>22000</v>
      </c>
      <c r="V10" s="576">
        <v>22000</v>
      </c>
      <c r="W10" s="576">
        <v>22000</v>
      </c>
      <c r="X10" s="576">
        <v>22000</v>
      </c>
      <c r="Y10" s="576">
        <v>22000</v>
      </c>
      <c r="Z10" s="576">
        <v>22000</v>
      </c>
      <c r="AA10" s="576"/>
      <c r="AB10" s="593"/>
      <c r="AC10" s="587"/>
    </row>
    <row r="11" spans="1:29" x14ac:dyDescent="0.3">
      <c r="A11" s="1202"/>
      <c r="B11" s="605" t="s">
        <v>625</v>
      </c>
      <c r="C11" s="578">
        <f t="shared" si="1"/>
        <v>222000</v>
      </c>
      <c r="D11" s="576"/>
      <c r="E11" s="576"/>
      <c r="F11" s="576"/>
      <c r="G11" s="576">
        <v>6000</v>
      </c>
      <c r="H11" s="576">
        <v>12000</v>
      </c>
      <c r="I11" s="576">
        <v>12000</v>
      </c>
      <c r="J11" s="576">
        <v>12000</v>
      </c>
      <c r="K11" s="576">
        <v>12000</v>
      </c>
      <c r="L11" s="576">
        <v>12000</v>
      </c>
      <c r="M11" s="576">
        <v>12000</v>
      </c>
      <c r="N11" s="576">
        <v>12000</v>
      </c>
      <c r="O11" s="576"/>
      <c r="P11" s="576">
        <v>12000</v>
      </c>
      <c r="Q11" s="576">
        <v>12000</v>
      </c>
      <c r="R11" s="576">
        <v>12000</v>
      </c>
      <c r="S11" s="576">
        <v>12000</v>
      </c>
      <c r="T11" s="576">
        <v>12000</v>
      </c>
      <c r="U11" s="576">
        <v>12000</v>
      </c>
      <c r="V11" s="576">
        <v>12000</v>
      </c>
      <c r="W11" s="576">
        <v>12000</v>
      </c>
      <c r="X11" s="576">
        <v>12000</v>
      </c>
      <c r="Y11" s="576">
        <v>12000</v>
      </c>
      <c r="Z11" s="576">
        <v>12000</v>
      </c>
      <c r="AA11" s="576"/>
      <c r="AB11" s="593"/>
      <c r="AC11" s="587"/>
    </row>
    <row r="12" spans="1:29" s="633" customFormat="1" x14ac:dyDescent="0.3">
      <c r="A12" s="1192" t="s">
        <v>627</v>
      </c>
      <c r="B12" s="628"/>
      <c r="C12" s="629"/>
      <c r="D12" s="630">
        <f>SUM(D13:D20)</f>
        <v>44000</v>
      </c>
      <c r="E12" s="630">
        <f t="shared" ref="E12:Z12" si="2">SUM(E13:E20)</f>
        <v>44000</v>
      </c>
      <c r="F12" s="630">
        <f t="shared" si="2"/>
        <v>44000</v>
      </c>
      <c r="G12" s="630">
        <f t="shared" si="2"/>
        <v>66000</v>
      </c>
      <c r="H12" s="630">
        <f t="shared" si="2"/>
        <v>88000</v>
      </c>
      <c r="I12" s="630">
        <f t="shared" si="2"/>
        <v>88000</v>
      </c>
      <c r="J12" s="630">
        <f t="shared" si="2"/>
        <v>88000</v>
      </c>
      <c r="K12" s="630">
        <f t="shared" si="2"/>
        <v>146000</v>
      </c>
      <c r="L12" s="630">
        <f t="shared" si="2"/>
        <v>146000</v>
      </c>
      <c r="M12" s="630">
        <f t="shared" si="2"/>
        <v>146000</v>
      </c>
      <c r="N12" s="630">
        <f t="shared" si="2"/>
        <v>146000</v>
      </c>
      <c r="O12" s="630">
        <f>SUM(D12:N12)</f>
        <v>1046000</v>
      </c>
      <c r="P12" s="630">
        <f t="shared" si="2"/>
        <v>146000</v>
      </c>
      <c r="Q12" s="630">
        <f t="shared" si="2"/>
        <v>146000</v>
      </c>
      <c r="R12" s="630">
        <f t="shared" si="2"/>
        <v>146000</v>
      </c>
      <c r="S12" s="630">
        <f t="shared" si="2"/>
        <v>146000</v>
      </c>
      <c r="T12" s="630">
        <f t="shared" si="2"/>
        <v>146000</v>
      </c>
      <c r="U12" s="630">
        <f t="shared" si="2"/>
        <v>146000</v>
      </c>
      <c r="V12" s="630">
        <f t="shared" si="2"/>
        <v>146000</v>
      </c>
      <c r="W12" s="630">
        <f t="shared" si="2"/>
        <v>146000</v>
      </c>
      <c r="X12" s="630">
        <f t="shared" si="2"/>
        <v>146000</v>
      </c>
      <c r="Y12" s="630">
        <f t="shared" si="2"/>
        <v>146000</v>
      </c>
      <c r="Z12" s="630">
        <f t="shared" si="2"/>
        <v>122000</v>
      </c>
      <c r="AA12" s="636">
        <f>SUM(P12:Z12)</f>
        <v>1582000</v>
      </c>
      <c r="AB12" s="631"/>
      <c r="AC12" s="632"/>
    </row>
    <row r="13" spans="1:29" s="31" customFormat="1" x14ac:dyDescent="0.3">
      <c r="A13" s="1193"/>
      <c r="B13" s="599" t="s">
        <v>620</v>
      </c>
      <c r="C13" s="579">
        <f t="shared" ref="C13:C20" si="3">SUM(D13:Z13)</f>
        <v>484000</v>
      </c>
      <c r="D13" s="580">
        <v>22000</v>
      </c>
      <c r="E13" s="580">
        <v>22000</v>
      </c>
      <c r="F13" s="580">
        <v>22000</v>
      </c>
      <c r="G13" s="580">
        <v>22000</v>
      </c>
      <c r="H13" s="580">
        <v>22000</v>
      </c>
      <c r="I13" s="580">
        <v>22000</v>
      </c>
      <c r="J13" s="580">
        <v>22000</v>
      </c>
      <c r="K13" s="580">
        <v>22000</v>
      </c>
      <c r="L13" s="580">
        <v>22000</v>
      </c>
      <c r="M13" s="580">
        <v>22000</v>
      </c>
      <c r="N13" s="580">
        <v>22000</v>
      </c>
      <c r="O13" s="580"/>
      <c r="P13" s="580">
        <v>22000</v>
      </c>
      <c r="Q13" s="580">
        <v>22000</v>
      </c>
      <c r="R13" s="580">
        <v>22000</v>
      </c>
      <c r="S13" s="580">
        <v>22000</v>
      </c>
      <c r="T13" s="580">
        <v>22000</v>
      </c>
      <c r="U13" s="580">
        <v>22000</v>
      </c>
      <c r="V13" s="580">
        <v>22000</v>
      </c>
      <c r="W13" s="580">
        <v>22000</v>
      </c>
      <c r="X13" s="580">
        <v>22000</v>
      </c>
      <c r="Y13" s="580">
        <v>22000</v>
      </c>
      <c r="Z13" s="580">
        <v>22000</v>
      </c>
      <c r="AA13" s="637"/>
      <c r="AB13" s="1262" t="s">
        <v>634</v>
      </c>
      <c r="AC13" s="589" t="s">
        <v>629</v>
      </c>
    </row>
    <row r="14" spans="1:29" s="31" customFormat="1" x14ac:dyDescent="0.3">
      <c r="A14" s="1193"/>
      <c r="B14" s="599" t="s">
        <v>620</v>
      </c>
      <c r="C14" s="579">
        <f t="shared" si="3"/>
        <v>407000</v>
      </c>
      <c r="D14" s="580"/>
      <c r="E14" s="580"/>
      <c r="F14" s="580"/>
      <c r="G14" s="580">
        <v>11000</v>
      </c>
      <c r="H14" s="580">
        <v>22000</v>
      </c>
      <c r="I14" s="580">
        <v>22000</v>
      </c>
      <c r="J14" s="580">
        <v>22000</v>
      </c>
      <c r="K14" s="580">
        <v>22000</v>
      </c>
      <c r="L14" s="580">
        <v>22000</v>
      </c>
      <c r="M14" s="580">
        <v>22000</v>
      </c>
      <c r="N14" s="580">
        <v>22000</v>
      </c>
      <c r="O14" s="580"/>
      <c r="P14" s="580">
        <v>22000</v>
      </c>
      <c r="Q14" s="580">
        <v>22000</v>
      </c>
      <c r="R14" s="580">
        <v>22000</v>
      </c>
      <c r="S14" s="580">
        <v>22000</v>
      </c>
      <c r="T14" s="580">
        <v>22000</v>
      </c>
      <c r="U14" s="580">
        <v>22000</v>
      </c>
      <c r="V14" s="580">
        <v>22000</v>
      </c>
      <c r="W14" s="580">
        <v>22000</v>
      </c>
      <c r="X14" s="580">
        <v>22000</v>
      </c>
      <c r="Y14" s="580">
        <v>22000</v>
      </c>
      <c r="Z14" s="580">
        <v>22000</v>
      </c>
      <c r="AA14" s="638"/>
      <c r="AB14" s="1263"/>
      <c r="AC14" s="589" t="s">
        <v>630</v>
      </c>
    </row>
    <row r="15" spans="1:29" x14ac:dyDescent="0.3">
      <c r="A15" s="1193"/>
      <c r="B15" s="600" t="s">
        <v>621</v>
      </c>
      <c r="C15" s="579">
        <f t="shared" si="3"/>
        <v>168000</v>
      </c>
      <c r="D15" s="581"/>
      <c r="E15" s="581"/>
      <c r="F15" s="581"/>
      <c r="G15" s="581"/>
      <c r="H15" s="581"/>
      <c r="I15" s="581"/>
      <c r="J15" s="581"/>
      <c r="K15" s="581">
        <v>12000</v>
      </c>
      <c r="L15" s="581">
        <v>12000</v>
      </c>
      <c r="M15" s="581">
        <v>12000</v>
      </c>
      <c r="N15" s="581">
        <v>12000</v>
      </c>
      <c r="O15" s="581"/>
      <c r="P15" s="581">
        <v>12000</v>
      </c>
      <c r="Q15" s="581">
        <v>12000</v>
      </c>
      <c r="R15" s="581">
        <v>12000</v>
      </c>
      <c r="S15" s="581">
        <v>12000</v>
      </c>
      <c r="T15" s="581">
        <v>12000</v>
      </c>
      <c r="U15" s="581">
        <v>12000</v>
      </c>
      <c r="V15" s="581">
        <v>12000</v>
      </c>
      <c r="W15" s="581">
        <v>12000</v>
      </c>
      <c r="X15" s="581">
        <v>12000</v>
      </c>
      <c r="Y15" s="581">
        <v>12000</v>
      </c>
      <c r="Z15" s="581"/>
      <c r="AA15" s="639"/>
      <c r="AB15" s="1264"/>
      <c r="AC15" s="589" t="s">
        <v>631</v>
      </c>
    </row>
    <row r="16" spans="1:29" x14ac:dyDescent="0.3">
      <c r="A16" s="1193"/>
      <c r="B16" s="601" t="s">
        <v>622</v>
      </c>
      <c r="C16" s="579">
        <f t="shared" si="3"/>
        <v>484000</v>
      </c>
      <c r="D16" s="581">
        <v>22000</v>
      </c>
      <c r="E16" s="581">
        <v>22000</v>
      </c>
      <c r="F16" s="581">
        <v>22000</v>
      </c>
      <c r="G16" s="581">
        <v>22000</v>
      </c>
      <c r="H16" s="581">
        <v>22000</v>
      </c>
      <c r="I16" s="581">
        <v>22000</v>
      </c>
      <c r="J16" s="581">
        <v>22000</v>
      </c>
      <c r="K16" s="581">
        <v>22000</v>
      </c>
      <c r="L16" s="581">
        <v>22000</v>
      </c>
      <c r="M16" s="581">
        <v>22000</v>
      </c>
      <c r="N16" s="581">
        <v>22000</v>
      </c>
      <c r="O16" s="581"/>
      <c r="P16" s="581">
        <v>22000</v>
      </c>
      <c r="Q16" s="581">
        <v>22000</v>
      </c>
      <c r="R16" s="581">
        <v>22000</v>
      </c>
      <c r="S16" s="581">
        <v>22000</v>
      </c>
      <c r="T16" s="581">
        <v>22000</v>
      </c>
      <c r="U16" s="581">
        <v>22000</v>
      </c>
      <c r="V16" s="581">
        <v>22000</v>
      </c>
      <c r="W16" s="581">
        <v>22000</v>
      </c>
      <c r="X16" s="581">
        <v>22000</v>
      </c>
      <c r="Y16" s="581">
        <v>22000</v>
      </c>
      <c r="Z16" s="581">
        <v>22000</v>
      </c>
      <c r="AA16" s="640"/>
      <c r="AB16" s="1262" t="s">
        <v>633</v>
      </c>
      <c r="AC16" s="589" t="s">
        <v>630</v>
      </c>
    </row>
    <row r="17" spans="1:29" x14ac:dyDescent="0.3">
      <c r="A17" s="1193"/>
      <c r="B17" s="602" t="s">
        <v>623</v>
      </c>
      <c r="C17" s="579">
        <f t="shared" si="3"/>
        <v>168000</v>
      </c>
      <c r="D17" s="581"/>
      <c r="E17" s="581"/>
      <c r="F17" s="581"/>
      <c r="G17" s="581"/>
      <c r="H17" s="581"/>
      <c r="I17" s="581"/>
      <c r="J17" s="581"/>
      <c r="K17" s="581">
        <v>12000</v>
      </c>
      <c r="L17" s="581">
        <v>12000</v>
      </c>
      <c r="M17" s="581">
        <v>12000</v>
      </c>
      <c r="N17" s="581">
        <v>12000</v>
      </c>
      <c r="O17" s="581"/>
      <c r="P17" s="581">
        <v>12000</v>
      </c>
      <c r="Q17" s="581">
        <v>12000</v>
      </c>
      <c r="R17" s="581">
        <v>12000</v>
      </c>
      <c r="S17" s="581">
        <v>12000</v>
      </c>
      <c r="T17" s="581">
        <v>12000</v>
      </c>
      <c r="U17" s="581">
        <v>12000</v>
      </c>
      <c r="V17" s="581">
        <v>12000</v>
      </c>
      <c r="W17" s="581">
        <v>12000</v>
      </c>
      <c r="X17" s="581">
        <v>12000</v>
      </c>
      <c r="Y17" s="581">
        <v>12000</v>
      </c>
      <c r="Z17" s="581"/>
      <c r="AA17" s="641"/>
      <c r="AB17" s="1263"/>
      <c r="AC17" s="589" t="s">
        <v>630</v>
      </c>
    </row>
    <row r="18" spans="1:29" x14ac:dyDescent="0.3">
      <c r="A18" s="1193"/>
      <c r="B18" s="601" t="s">
        <v>622</v>
      </c>
      <c r="C18" s="579">
        <f t="shared" si="3"/>
        <v>407000</v>
      </c>
      <c r="D18" s="581"/>
      <c r="E18" s="581"/>
      <c r="F18" s="581"/>
      <c r="G18" s="581">
        <v>11000</v>
      </c>
      <c r="H18" s="581">
        <v>22000</v>
      </c>
      <c r="I18" s="581">
        <v>22000</v>
      </c>
      <c r="J18" s="581">
        <v>22000</v>
      </c>
      <c r="K18" s="581">
        <v>22000</v>
      </c>
      <c r="L18" s="581">
        <v>22000</v>
      </c>
      <c r="M18" s="581">
        <v>22000</v>
      </c>
      <c r="N18" s="581">
        <v>22000</v>
      </c>
      <c r="O18" s="581"/>
      <c r="P18" s="581">
        <v>22000</v>
      </c>
      <c r="Q18" s="581">
        <v>22000</v>
      </c>
      <c r="R18" s="581">
        <v>22000</v>
      </c>
      <c r="S18" s="581">
        <v>22000</v>
      </c>
      <c r="T18" s="581">
        <v>22000</v>
      </c>
      <c r="U18" s="581">
        <v>22000</v>
      </c>
      <c r="V18" s="581">
        <v>22000</v>
      </c>
      <c r="W18" s="581">
        <v>22000</v>
      </c>
      <c r="X18" s="581">
        <v>22000</v>
      </c>
      <c r="Y18" s="581">
        <v>22000</v>
      </c>
      <c r="Z18" s="581">
        <v>22000</v>
      </c>
      <c r="AA18" s="641"/>
      <c r="AB18" s="1263"/>
      <c r="AC18" s="589" t="s">
        <v>629</v>
      </c>
    </row>
    <row r="19" spans="1:29" x14ac:dyDescent="0.3">
      <c r="A19" s="1193"/>
      <c r="B19" s="604" t="s">
        <v>624</v>
      </c>
      <c r="C19" s="579">
        <f t="shared" si="3"/>
        <v>330000</v>
      </c>
      <c r="D19" s="581"/>
      <c r="E19" s="581"/>
      <c r="F19" s="581"/>
      <c r="G19" s="581"/>
      <c r="H19" s="581"/>
      <c r="I19" s="581"/>
      <c r="J19" s="581"/>
      <c r="K19" s="581">
        <v>22000</v>
      </c>
      <c r="L19" s="581">
        <v>22000</v>
      </c>
      <c r="M19" s="581">
        <v>22000</v>
      </c>
      <c r="N19" s="581">
        <v>22000</v>
      </c>
      <c r="O19" s="581"/>
      <c r="P19" s="581">
        <v>22000</v>
      </c>
      <c r="Q19" s="581">
        <v>22000</v>
      </c>
      <c r="R19" s="581">
        <v>22000</v>
      </c>
      <c r="S19" s="581">
        <v>22000</v>
      </c>
      <c r="T19" s="581">
        <v>22000</v>
      </c>
      <c r="U19" s="581">
        <v>22000</v>
      </c>
      <c r="V19" s="581">
        <v>22000</v>
      </c>
      <c r="W19" s="581">
        <v>22000</v>
      </c>
      <c r="X19" s="581">
        <v>22000</v>
      </c>
      <c r="Y19" s="581">
        <v>22000</v>
      </c>
      <c r="Z19" s="581">
        <v>22000</v>
      </c>
      <c r="AA19" s="640"/>
      <c r="AB19" s="1265" t="s">
        <v>635</v>
      </c>
      <c r="AC19" s="589" t="s">
        <v>629</v>
      </c>
    </row>
    <row r="20" spans="1:29" x14ac:dyDescent="0.3">
      <c r="A20" s="1197"/>
      <c r="B20" s="605" t="s">
        <v>625</v>
      </c>
      <c r="C20" s="579">
        <f t="shared" si="3"/>
        <v>180000</v>
      </c>
      <c r="D20" s="581"/>
      <c r="E20" s="581"/>
      <c r="F20" s="581"/>
      <c r="G20" s="581"/>
      <c r="H20" s="581"/>
      <c r="I20" s="581"/>
      <c r="J20" s="581"/>
      <c r="K20" s="581">
        <v>12000</v>
      </c>
      <c r="L20" s="581">
        <v>12000</v>
      </c>
      <c r="M20" s="581">
        <v>12000</v>
      </c>
      <c r="N20" s="581">
        <v>12000</v>
      </c>
      <c r="O20" s="581"/>
      <c r="P20" s="581">
        <v>12000</v>
      </c>
      <c r="Q20" s="581">
        <v>12000</v>
      </c>
      <c r="R20" s="581">
        <v>12000</v>
      </c>
      <c r="S20" s="581">
        <v>12000</v>
      </c>
      <c r="T20" s="581">
        <v>12000</v>
      </c>
      <c r="U20" s="581">
        <v>12000</v>
      </c>
      <c r="V20" s="581">
        <v>12000</v>
      </c>
      <c r="W20" s="581">
        <v>12000</v>
      </c>
      <c r="X20" s="581">
        <v>12000</v>
      </c>
      <c r="Y20" s="581">
        <v>12000</v>
      </c>
      <c r="Z20" s="581">
        <v>12000</v>
      </c>
      <c r="AA20" s="639"/>
      <c r="AB20" s="1266"/>
      <c r="AC20" s="589" t="s">
        <v>630</v>
      </c>
    </row>
    <row r="21" spans="1:29" s="635" customFormat="1" x14ac:dyDescent="0.3">
      <c r="A21" s="1202" t="s">
        <v>339</v>
      </c>
      <c r="B21" s="628"/>
      <c r="C21" s="629"/>
      <c r="D21" s="630">
        <f t="shared" ref="D21:N21" si="4">SUM(D22:D26)</f>
        <v>22000</v>
      </c>
      <c r="E21" s="630">
        <f t="shared" si="4"/>
        <v>22000</v>
      </c>
      <c r="F21" s="630">
        <f t="shared" si="4"/>
        <v>22000</v>
      </c>
      <c r="G21" s="630">
        <f t="shared" si="4"/>
        <v>44000</v>
      </c>
      <c r="H21" s="630">
        <f t="shared" si="4"/>
        <v>66000</v>
      </c>
      <c r="I21" s="630">
        <f t="shared" si="4"/>
        <v>66000</v>
      </c>
      <c r="J21" s="630">
        <f t="shared" si="4"/>
        <v>66000</v>
      </c>
      <c r="K21" s="630">
        <f t="shared" si="4"/>
        <v>88000</v>
      </c>
      <c r="L21" s="630">
        <f t="shared" si="4"/>
        <v>110000</v>
      </c>
      <c r="M21" s="630">
        <f t="shared" si="4"/>
        <v>110000</v>
      </c>
      <c r="N21" s="630">
        <f t="shared" si="4"/>
        <v>110000</v>
      </c>
      <c r="O21" s="630">
        <f>SUM(D21:N21)</f>
        <v>726000</v>
      </c>
      <c r="P21" s="630">
        <f t="shared" ref="P21:Z21" si="5">SUM(P22:P26)</f>
        <v>110000</v>
      </c>
      <c r="Q21" s="630">
        <f t="shared" si="5"/>
        <v>110000</v>
      </c>
      <c r="R21" s="630">
        <f t="shared" si="5"/>
        <v>110000</v>
      </c>
      <c r="S21" s="630">
        <f t="shared" si="5"/>
        <v>110000</v>
      </c>
      <c r="T21" s="630">
        <f t="shared" si="5"/>
        <v>110000</v>
      </c>
      <c r="U21" s="630">
        <f t="shared" si="5"/>
        <v>110000</v>
      </c>
      <c r="V21" s="630">
        <f t="shared" si="5"/>
        <v>110000</v>
      </c>
      <c r="W21" s="630">
        <f t="shared" si="5"/>
        <v>110000</v>
      </c>
      <c r="X21" s="630">
        <f t="shared" si="5"/>
        <v>110000</v>
      </c>
      <c r="Y21" s="630">
        <f t="shared" si="5"/>
        <v>110000</v>
      </c>
      <c r="Z21" s="630">
        <f t="shared" si="5"/>
        <v>110000</v>
      </c>
      <c r="AA21" s="642">
        <f>SUM(P21:Z21)</f>
        <v>1210000</v>
      </c>
      <c r="AB21" s="634"/>
      <c r="AC21" s="632"/>
    </row>
    <row r="22" spans="1:29" s="31" customFormat="1" x14ac:dyDescent="0.3">
      <c r="A22" s="1202"/>
      <c r="B22" s="599" t="s">
        <v>620</v>
      </c>
      <c r="C22" s="582">
        <f>SUM(D22:Z22)</f>
        <v>484000</v>
      </c>
      <c r="D22" s="583">
        <v>22000</v>
      </c>
      <c r="E22" s="583">
        <v>22000</v>
      </c>
      <c r="F22" s="583">
        <v>22000</v>
      </c>
      <c r="G22" s="583">
        <v>22000</v>
      </c>
      <c r="H22" s="583">
        <v>22000</v>
      </c>
      <c r="I22" s="583">
        <v>22000</v>
      </c>
      <c r="J22" s="583">
        <v>22000</v>
      </c>
      <c r="K22" s="583">
        <v>22000</v>
      </c>
      <c r="L22" s="583">
        <v>22000</v>
      </c>
      <c r="M22" s="583">
        <v>22000</v>
      </c>
      <c r="N22" s="583">
        <v>22000</v>
      </c>
      <c r="O22" s="583"/>
      <c r="P22" s="583">
        <v>22000</v>
      </c>
      <c r="Q22" s="583">
        <v>22000</v>
      </c>
      <c r="R22" s="583">
        <v>22000</v>
      </c>
      <c r="S22" s="583">
        <v>22000</v>
      </c>
      <c r="T22" s="583">
        <v>22000</v>
      </c>
      <c r="U22" s="583">
        <v>22000</v>
      </c>
      <c r="V22" s="583">
        <v>22000</v>
      </c>
      <c r="W22" s="583">
        <v>22000</v>
      </c>
      <c r="X22" s="583">
        <v>22000</v>
      </c>
      <c r="Y22" s="583">
        <v>22000</v>
      </c>
      <c r="Z22" s="583">
        <v>22000</v>
      </c>
      <c r="AA22" s="583"/>
      <c r="AB22" s="595" t="s">
        <v>769</v>
      </c>
      <c r="AC22" s="583" t="s">
        <v>768</v>
      </c>
    </row>
    <row r="23" spans="1:29" x14ac:dyDescent="0.3">
      <c r="A23" s="1202"/>
      <c r="B23" s="599" t="s">
        <v>620</v>
      </c>
      <c r="C23" s="582">
        <f>SUM(D23:Z23)</f>
        <v>407000</v>
      </c>
      <c r="D23" s="584"/>
      <c r="E23" s="584"/>
      <c r="F23" s="584"/>
      <c r="G23" s="584">
        <v>11000</v>
      </c>
      <c r="H23" s="584">
        <v>22000</v>
      </c>
      <c r="I23" s="584">
        <v>22000</v>
      </c>
      <c r="J23" s="584">
        <v>22000</v>
      </c>
      <c r="K23" s="584">
        <v>22000</v>
      </c>
      <c r="L23" s="584">
        <v>22000</v>
      </c>
      <c r="M23" s="584">
        <v>22000</v>
      </c>
      <c r="N23" s="584">
        <v>22000</v>
      </c>
      <c r="O23" s="584"/>
      <c r="P23" s="584">
        <v>22000</v>
      </c>
      <c r="Q23" s="584">
        <v>22000</v>
      </c>
      <c r="R23" s="584">
        <v>22000</v>
      </c>
      <c r="S23" s="584">
        <v>22000</v>
      </c>
      <c r="T23" s="584">
        <v>22000</v>
      </c>
      <c r="U23" s="584">
        <v>22000</v>
      </c>
      <c r="V23" s="584">
        <v>22000</v>
      </c>
      <c r="W23" s="584">
        <v>22000</v>
      </c>
      <c r="X23" s="584">
        <v>22000</v>
      </c>
      <c r="Y23" s="584">
        <v>22000</v>
      </c>
      <c r="Z23" s="584">
        <v>22000</v>
      </c>
      <c r="AA23" s="584"/>
      <c r="AB23" s="741" t="s">
        <v>771</v>
      </c>
      <c r="AC23" s="590" t="s">
        <v>770</v>
      </c>
    </row>
    <row r="24" spans="1:29" x14ac:dyDescent="0.3">
      <c r="A24" s="1202"/>
      <c r="B24" s="599" t="s">
        <v>624</v>
      </c>
      <c r="C24" s="582">
        <f>SUM(D24:Z24)</f>
        <v>407000</v>
      </c>
      <c r="D24" s="584"/>
      <c r="E24" s="584"/>
      <c r="F24" s="584"/>
      <c r="G24" s="584">
        <v>11000</v>
      </c>
      <c r="H24" s="584">
        <v>22000</v>
      </c>
      <c r="I24" s="584">
        <v>22000</v>
      </c>
      <c r="J24" s="584">
        <v>22000</v>
      </c>
      <c r="K24" s="584">
        <v>22000</v>
      </c>
      <c r="L24" s="584">
        <v>22000</v>
      </c>
      <c r="M24" s="584">
        <v>22000</v>
      </c>
      <c r="N24" s="584">
        <v>22000</v>
      </c>
      <c r="O24" s="584"/>
      <c r="P24" s="584">
        <v>22000</v>
      </c>
      <c r="Q24" s="584">
        <v>22000</v>
      </c>
      <c r="R24" s="584">
        <v>22000</v>
      </c>
      <c r="S24" s="584">
        <v>22000</v>
      </c>
      <c r="T24" s="584">
        <v>22000</v>
      </c>
      <c r="U24" s="584">
        <v>22000</v>
      </c>
      <c r="V24" s="584">
        <v>22000</v>
      </c>
      <c r="W24" s="584">
        <v>22000</v>
      </c>
      <c r="X24" s="584">
        <v>22000</v>
      </c>
      <c r="Y24" s="584">
        <v>22000</v>
      </c>
      <c r="Z24" s="584">
        <v>22000</v>
      </c>
      <c r="AA24" s="584"/>
      <c r="AB24" s="741" t="s">
        <v>771</v>
      </c>
      <c r="AC24" s="590" t="s">
        <v>772</v>
      </c>
    </row>
    <row r="25" spans="1:29" x14ac:dyDescent="0.3">
      <c r="A25" s="1202"/>
      <c r="B25" s="601" t="s">
        <v>622</v>
      </c>
      <c r="C25" s="582">
        <f>SUM(D25:Z25)</f>
        <v>330000</v>
      </c>
      <c r="D25" s="584"/>
      <c r="E25" s="584"/>
      <c r="F25" s="584"/>
      <c r="G25" s="742"/>
      <c r="H25" s="742"/>
      <c r="I25" s="742"/>
      <c r="J25" s="742"/>
      <c r="K25" s="584">
        <v>22000</v>
      </c>
      <c r="L25" s="584">
        <v>22000</v>
      </c>
      <c r="M25" s="584">
        <v>22000</v>
      </c>
      <c r="N25" s="584">
        <v>22000</v>
      </c>
      <c r="O25" s="584"/>
      <c r="P25" s="584">
        <v>22000</v>
      </c>
      <c r="Q25" s="584">
        <v>22000</v>
      </c>
      <c r="R25" s="584">
        <v>22000</v>
      </c>
      <c r="S25" s="584">
        <v>22000</v>
      </c>
      <c r="T25" s="584">
        <v>22000</v>
      </c>
      <c r="U25" s="584">
        <v>22000</v>
      </c>
      <c r="V25" s="584">
        <v>22000</v>
      </c>
      <c r="W25" s="584">
        <v>22000</v>
      </c>
      <c r="X25" s="584">
        <v>22000</v>
      </c>
      <c r="Y25" s="584">
        <v>22000</v>
      </c>
      <c r="Z25" s="584">
        <v>22000</v>
      </c>
      <c r="AA25" s="584"/>
      <c r="AB25" s="596"/>
      <c r="AC25" s="590"/>
    </row>
    <row r="26" spans="1:29" x14ac:dyDescent="0.3">
      <c r="A26" s="1202"/>
      <c r="B26" s="601" t="s">
        <v>622</v>
      </c>
      <c r="C26" s="582">
        <f>SUM(D26:Z26)</f>
        <v>308000</v>
      </c>
      <c r="D26" s="584"/>
      <c r="E26" s="584"/>
      <c r="F26" s="584"/>
      <c r="G26" s="584"/>
      <c r="H26" s="584"/>
      <c r="I26" s="584"/>
      <c r="J26" s="584"/>
      <c r="K26" s="584"/>
      <c r="L26" s="584">
        <v>22000</v>
      </c>
      <c r="M26" s="584">
        <v>22000</v>
      </c>
      <c r="N26" s="584">
        <v>22000</v>
      </c>
      <c r="O26" s="584"/>
      <c r="P26" s="584">
        <v>22000</v>
      </c>
      <c r="Q26" s="584">
        <v>22000</v>
      </c>
      <c r="R26" s="584">
        <v>22000</v>
      </c>
      <c r="S26" s="584">
        <v>22000</v>
      </c>
      <c r="T26" s="584">
        <v>22000</v>
      </c>
      <c r="U26" s="584">
        <v>22000</v>
      </c>
      <c r="V26" s="584">
        <v>22000</v>
      </c>
      <c r="W26" s="584">
        <v>22000</v>
      </c>
      <c r="X26" s="584">
        <v>22000</v>
      </c>
      <c r="Y26" s="584">
        <v>22000</v>
      </c>
      <c r="Z26" s="584">
        <v>22000</v>
      </c>
      <c r="AA26" s="584"/>
      <c r="AB26" s="596"/>
      <c r="AC26" s="590"/>
    </row>
  </sheetData>
  <mergeCells count="6">
    <mergeCell ref="A21:A26"/>
    <mergeCell ref="A4:A11"/>
    <mergeCell ref="AB13:AB15"/>
    <mergeCell ref="AB16:AB18"/>
    <mergeCell ref="AB19:AB20"/>
    <mergeCell ref="A12:A20"/>
  </mergeCells>
  <phoneticPr fontId="2" type="noConversion"/>
  <pageMargins left="0.7" right="0.7" top="0.75" bottom="0.75" header="0.3" footer="0.3"/>
  <pageSetup paperSize="9" orientation="portrait" horizontalDpi="0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workbookViewId="0">
      <selection activeCell="J5" sqref="J5"/>
    </sheetView>
  </sheetViews>
  <sheetFormatPr baseColWidth="10" defaultRowHeight="14.4" x14ac:dyDescent="0.3"/>
  <cols>
    <col min="1" max="1" width="11.5546875" style="31"/>
    <col min="2" max="2" width="15.109375" customWidth="1"/>
    <col min="3" max="3" width="9.44140625" style="31" bestFit="1" customWidth="1"/>
    <col min="4" max="4" width="28.88671875" customWidth="1"/>
    <col min="5" max="5" width="6.109375" style="31" customWidth="1"/>
    <col min="6" max="6" width="22.5546875" style="109" customWidth="1"/>
    <col min="7" max="7" width="15.6640625" style="109" customWidth="1"/>
    <col min="8" max="8" width="64.5546875" style="733" customWidth="1"/>
  </cols>
  <sheetData>
    <row r="1" spans="1:8" ht="18" x14ac:dyDescent="0.35">
      <c r="A1" s="1271" t="s">
        <v>766</v>
      </c>
      <c r="B1" s="1271"/>
      <c r="C1" s="1271"/>
      <c r="D1" s="1271"/>
      <c r="E1" s="1271"/>
      <c r="F1" s="1271"/>
      <c r="G1" s="1271"/>
      <c r="H1" s="1271"/>
    </row>
    <row r="2" spans="1:8" ht="18.75" x14ac:dyDescent="0.3">
      <c r="A2" s="1272" t="s">
        <v>767</v>
      </c>
      <c r="B2" s="1272"/>
      <c r="C2" s="1272"/>
      <c r="D2" s="1272"/>
      <c r="E2" s="1272"/>
      <c r="F2" s="1272"/>
      <c r="G2" s="1272"/>
      <c r="H2" s="1272"/>
    </row>
    <row r="3" spans="1:8" s="4" customFormat="1" ht="25.2" customHeight="1" x14ac:dyDescent="0.3">
      <c r="A3" s="736" t="s">
        <v>737</v>
      </c>
      <c r="B3" s="737" t="s">
        <v>352</v>
      </c>
      <c r="C3" s="1273" t="s">
        <v>49</v>
      </c>
      <c r="D3" s="1273"/>
      <c r="E3" s="1274" t="s">
        <v>727</v>
      </c>
      <c r="F3" s="1274"/>
      <c r="G3" s="738" t="s">
        <v>729</v>
      </c>
      <c r="H3" s="739" t="s">
        <v>728</v>
      </c>
    </row>
    <row r="4" spans="1:8" s="110" customFormat="1" ht="86.4" x14ac:dyDescent="0.3">
      <c r="A4" s="1175">
        <v>1</v>
      </c>
      <c r="B4" s="1094" t="s">
        <v>730</v>
      </c>
      <c r="C4" s="719" t="s">
        <v>738</v>
      </c>
      <c r="D4" s="2" t="s">
        <v>739</v>
      </c>
      <c r="E4" s="740" t="s">
        <v>2</v>
      </c>
      <c r="F4" s="3" t="s">
        <v>114</v>
      </c>
      <c r="G4" s="1275" t="s">
        <v>740</v>
      </c>
      <c r="H4" s="1269" t="s">
        <v>763</v>
      </c>
    </row>
    <row r="5" spans="1:8" s="4" customFormat="1" ht="86.4" x14ac:dyDescent="0.3">
      <c r="A5" s="1175"/>
      <c r="B5" s="1094"/>
      <c r="C5" s="720" t="s">
        <v>741</v>
      </c>
      <c r="D5" s="2" t="s">
        <v>742</v>
      </c>
      <c r="E5" s="740" t="s">
        <v>2</v>
      </c>
      <c r="F5" s="3" t="s">
        <v>207</v>
      </c>
      <c r="G5" s="1275"/>
      <c r="H5" s="1270"/>
    </row>
    <row r="6" spans="1:8" s="4" customFormat="1" ht="86.4" x14ac:dyDescent="0.3">
      <c r="A6" s="1202">
        <v>2</v>
      </c>
      <c r="B6" s="1105" t="s">
        <v>730</v>
      </c>
      <c r="C6" s="719" t="s">
        <v>738</v>
      </c>
      <c r="D6" s="2" t="s">
        <v>739</v>
      </c>
      <c r="E6" s="740" t="s">
        <v>2</v>
      </c>
      <c r="F6" s="3" t="s">
        <v>114</v>
      </c>
      <c r="G6" s="1175" t="s">
        <v>740</v>
      </c>
      <c r="H6" s="1267" t="s">
        <v>764</v>
      </c>
    </row>
    <row r="7" spans="1:8" s="4" customFormat="1" ht="86.4" x14ac:dyDescent="0.3">
      <c r="A7" s="1202"/>
      <c r="B7" s="1105"/>
      <c r="C7" s="720" t="s">
        <v>741</v>
      </c>
      <c r="D7" s="2" t="s">
        <v>742</v>
      </c>
      <c r="E7" s="740" t="s">
        <v>2</v>
      </c>
      <c r="F7" s="3" t="s">
        <v>207</v>
      </c>
      <c r="G7" s="1175"/>
      <c r="H7" s="1268"/>
    </row>
    <row r="8" spans="1:8" s="4" customFormat="1" ht="86.4" x14ac:dyDescent="0.3">
      <c r="A8" s="1202">
        <v>3</v>
      </c>
      <c r="B8" s="1105" t="s">
        <v>730</v>
      </c>
      <c r="C8" s="719" t="s">
        <v>738</v>
      </c>
      <c r="D8" s="2" t="s">
        <v>739</v>
      </c>
      <c r="E8" s="719" t="s">
        <v>2</v>
      </c>
      <c r="F8" s="3" t="s">
        <v>114</v>
      </c>
      <c r="G8" s="1175" t="s">
        <v>740</v>
      </c>
      <c r="H8" s="1267" t="s">
        <v>765</v>
      </c>
    </row>
    <row r="9" spans="1:8" s="4" customFormat="1" ht="86.4" x14ac:dyDescent="0.3">
      <c r="A9" s="1202"/>
      <c r="B9" s="1105"/>
      <c r="C9" s="720" t="s">
        <v>741</v>
      </c>
      <c r="D9" s="2" t="s">
        <v>742</v>
      </c>
      <c r="E9" s="719" t="s">
        <v>2</v>
      </c>
      <c r="F9" s="3" t="s">
        <v>207</v>
      </c>
      <c r="G9" s="1175"/>
      <c r="H9" s="1268"/>
    </row>
    <row r="10" spans="1:8" s="4" customFormat="1" ht="64.95" customHeight="1" x14ac:dyDescent="0.3">
      <c r="A10" s="720">
        <v>4</v>
      </c>
      <c r="B10" s="178" t="s">
        <v>743</v>
      </c>
      <c r="C10" s="720" t="s">
        <v>744</v>
      </c>
      <c r="D10" s="2" t="s">
        <v>745</v>
      </c>
      <c r="E10" s="719" t="s">
        <v>2</v>
      </c>
      <c r="F10" s="2" t="s">
        <v>223</v>
      </c>
      <c r="G10" s="719" t="s">
        <v>746</v>
      </c>
      <c r="H10" s="731" t="s">
        <v>747</v>
      </c>
    </row>
    <row r="11" spans="1:8" s="4" customFormat="1" ht="65.400000000000006" customHeight="1" x14ac:dyDescent="0.3">
      <c r="A11" s="720">
        <v>5</v>
      </c>
      <c r="B11" s="178" t="s">
        <v>743</v>
      </c>
      <c r="C11" s="720" t="s">
        <v>748</v>
      </c>
      <c r="D11" s="2" t="s">
        <v>749</v>
      </c>
      <c r="E11" s="719" t="s">
        <v>2</v>
      </c>
      <c r="F11" s="2" t="s">
        <v>244</v>
      </c>
      <c r="G11" s="719" t="s">
        <v>740</v>
      </c>
      <c r="H11" s="731" t="s">
        <v>750</v>
      </c>
    </row>
    <row r="12" spans="1:8" s="4" customFormat="1" ht="100.8" x14ac:dyDescent="0.3">
      <c r="A12" s="720">
        <v>6</v>
      </c>
      <c r="B12" s="178" t="s">
        <v>751</v>
      </c>
      <c r="C12" s="720" t="s">
        <v>752</v>
      </c>
      <c r="D12" s="2" t="s">
        <v>753</v>
      </c>
      <c r="E12" s="720" t="s">
        <v>2</v>
      </c>
      <c r="F12" s="2" t="s">
        <v>754</v>
      </c>
      <c r="G12" s="719" t="s">
        <v>746</v>
      </c>
      <c r="H12" s="731" t="s">
        <v>755</v>
      </c>
    </row>
    <row r="13" spans="1:8" s="4" customFormat="1" ht="172.8" x14ac:dyDescent="0.3">
      <c r="A13" s="720">
        <v>7</v>
      </c>
      <c r="B13" s="178" t="s">
        <v>751</v>
      </c>
      <c r="C13" s="720" t="s">
        <v>756</v>
      </c>
      <c r="D13" s="2" t="s">
        <v>757</v>
      </c>
      <c r="E13" s="720" t="s">
        <v>2</v>
      </c>
      <c r="F13" s="2" t="s">
        <v>735</v>
      </c>
      <c r="G13" s="719" t="s">
        <v>746</v>
      </c>
      <c r="H13" s="731" t="s">
        <v>732</v>
      </c>
    </row>
    <row r="14" spans="1:8" s="4" customFormat="1" x14ac:dyDescent="0.3">
      <c r="A14" s="30"/>
      <c r="C14" s="30"/>
      <c r="E14" s="30"/>
      <c r="F14" s="110"/>
      <c r="G14" s="110"/>
      <c r="H14" s="732"/>
    </row>
    <row r="15" spans="1:8" s="4" customFormat="1" x14ac:dyDescent="0.3">
      <c r="A15" s="30"/>
      <c r="C15" s="30"/>
      <c r="E15" s="30"/>
      <c r="F15" s="110"/>
      <c r="G15" s="110"/>
      <c r="H15" s="732"/>
    </row>
    <row r="16" spans="1:8" s="4" customFormat="1" x14ac:dyDescent="0.3">
      <c r="A16" s="30"/>
      <c r="C16" s="30"/>
      <c r="E16" s="30"/>
      <c r="F16" s="110"/>
      <c r="G16" s="110"/>
      <c r="H16" s="732"/>
    </row>
    <row r="17" spans="1:8" s="4" customFormat="1" x14ac:dyDescent="0.3">
      <c r="A17" s="30"/>
      <c r="C17" s="30"/>
      <c r="E17" s="30"/>
      <c r="F17" s="110"/>
      <c r="G17" s="110"/>
      <c r="H17" s="732"/>
    </row>
    <row r="18" spans="1:8" s="4" customFormat="1" x14ac:dyDescent="0.3">
      <c r="A18" s="30"/>
      <c r="C18" s="30"/>
      <c r="E18" s="30"/>
      <c r="F18" s="110"/>
      <c r="G18" s="110"/>
      <c r="H18" s="732"/>
    </row>
    <row r="19" spans="1:8" s="4" customFormat="1" x14ac:dyDescent="0.3">
      <c r="A19" s="30"/>
      <c r="C19" s="30"/>
      <c r="E19" s="30"/>
      <c r="F19" s="110"/>
      <c r="G19" s="110"/>
      <c r="H19" s="732"/>
    </row>
    <row r="20" spans="1:8" s="4" customFormat="1" x14ac:dyDescent="0.3">
      <c r="A20" s="30"/>
      <c r="C20" s="30"/>
      <c r="E20" s="30"/>
      <c r="F20" s="110"/>
      <c r="G20" s="110"/>
      <c r="H20" s="732"/>
    </row>
    <row r="21" spans="1:8" s="4" customFormat="1" x14ac:dyDescent="0.3">
      <c r="A21" s="30"/>
      <c r="C21" s="30"/>
      <c r="E21" s="30"/>
      <c r="F21" s="110"/>
      <c r="G21" s="110"/>
      <c r="H21" s="732"/>
    </row>
    <row r="22" spans="1:8" s="4" customFormat="1" x14ac:dyDescent="0.3">
      <c r="A22" s="30"/>
      <c r="C22" s="30"/>
      <c r="E22" s="30"/>
      <c r="F22" s="110"/>
      <c r="G22" s="110"/>
      <c r="H22" s="732"/>
    </row>
    <row r="23" spans="1:8" s="4" customFormat="1" x14ac:dyDescent="0.3">
      <c r="A23" s="30"/>
      <c r="C23" s="30"/>
      <c r="E23" s="30"/>
      <c r="F23" s="110"/>
      <c r="G23" s="110"/>
      <c r="H23" s="732"/>
    </row>
    <row r="24" spans="1:8" s="4" customFormat="1" x14ac:dyDescent="0.3">
      <c r="A24" s="30"/>
      <c r="C24" s="30"/>
      <c r="E24" s="30"/>
      <c r="F24" s="110"/>
      <c r="G24" s="110"/>
      <c r="H24" s="732"/>
    </row>
  </sheetData>
  <mergeCells count="16">
    <mergeCell ref="H4:H5"/>
    <mergeCell ref="A1:H1"/>
    <mergeCell ref="A2:H2"/>
    <mergeCell ref="C3:D3"/>
    <mergeCell ref="E3:F3"/>
    <mergeCell ref="A4:A5"/>
    <mergeCell ref="B4:B5"/>
    <mergeCell ref="G4:G5"/>
    <mergeCell ref="A6:A7"/>
    <mergeCell ref="B6:B7"/>
    <mergeCell ref="G6:G7"/>
    <mergeCell ref="H6:H7"/>
    <mergeCell ref="A8:A9"/>
    <mergeCell ref="B8:B9"/>
    <mergeCell ref="G8:G9"/>
    <mergeCell ref="H8:H9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AY142"/>
  <sheetViews>
    <sheetView zoomScale="80" zoomScaleNormal="80" workbookViewId="0">
      <pane xSplit="2" ySplit="9" topLeftCell="G10" activePane="bottomRight" state="frozen"/>
      <selection pane="topRight" activeCell="C1" sqref="C1"/>
      <selection pane="bottomLeft" activeCell="A10" sqref="A10"/>
      <selection pane="bottomRight" activeCell="M17" sqref="M17:M18"/>
    </sheetView>
  </sheetViews>
  <sheetFormatPr baseColWidth="10" defaultRowHeight="14.4" x14ac:dyDescent="0.3"/>
  <cols>
    <col min="1" max="1" width="7.109375" style="31" customWidth="1"/>
    <col min="2" max="2" width="39.44140625" bestFit="1" customWidth="1"/>
    <col min="3" max="10" width="18" customWidth="1"/>
    <col min="11" max="11" width="18.88671875" customWidth="1"/>
    <col min="12" max="12" width="18.88671875" hidden="1" customWidth="1"/>
    <col min="13" max="13" width="18.88671875" customWidth="1"/>
    <col min="14" max="14" width="24.44140625" hidden="1" customWidth="1"/>
    <col min="15" max="15" width="21.88671875" customWidth="1"/>
    <col min="16" max="16" width="24.88671875" hidden="1" customWidth="1"/>
    <col min="17" max="17" width="20.5546875" customWidth="1"/>
    <col min="18" max="18" width="17" customWidth="1"/>
    <col min="19" max="19" width="11.5546875" style="370" bestFit="1" customWidth="1"/>
    <col min="20" max="21" width="11.44140625" style="370"/>
    <col min="22" max="22" width="16.5546875" style="370" bestFit="1" customWidth="1"/>
    <col min="23" max="47" width="11.44140625" style="370"/>
  </cols>
  <sheetData>
    <row r="1" spans="1:50" ht="15" x14ac:dyDescent="0.25">
      <c r="A1" s="1031"/>
      <c r="B1" s="1031"/>
      <c r="C1" s="1031"/>
      <c r="D1" s="1031"/>
      <c r="E1" s="1031"/>
      <c r="F1" s="1031"/>
      <c r="G1" s="1031"/>
      <c r="H1" s="1031"/>
      <c r="I1" s="1031"/>
      <c r="J1" s="1031"/>
      <c r="K1" s="1031"/>
      <c r="L1" s="923"/>
      <c r="M1" s="923"/>
      <c r="N1" s="370"/>
      <c r="O1" s="370"/>
      <c r="P1" s="370"/>
      <c r="Q1" s="370"/>
      <c r="R1" s="370"/>
    </row>
    <row r="2" spans="1:50" ht="15" x14ac:dyDescent="0.25">
      <c r="A2" s="469"/>
      <c r="B2" s="370"/>
      <c r="C2" s="370"/>
      <c r="D2" s="370"/>
      <c r="E2" s="370"/>
      <c r="F2" s="370"/>
      <c r="G2" s="370"/>
      <c r="H2" s="370"/>
      <c r="I2" s="370"/>
      <c r="J2" s="370"/>
      <c r="K2" s="370"/>
      <c r="L2" s="370"/>
      <c r="M2" s="370"/>
      <c r="N2" s="370"/>
      <c r="O2" s="370"/>
      <c r="P2" s="370"/>
      <c r="Q2" s="370"/>
      <c r="R2" s="370"/>
    </row>
    <row r="3" spans="1:50" ht="15" x14ac:dyDescent="0.25">
      <c r="A3" s="469"/>
      <c r="B3" s="370"/>
      <c r="C3" s="370"/>
      <c r="D3" s="370"/>
      <c r="E3" s="370"/>
      <c r="F3" s="370"/>
      <c r="G3" s="370"/>
      <c r="H3" s="370"/>
      <c r="I3" s="370"/>
      <c r="J3" s="370"/>
      <c r="K3" s="370"/>
      <c r="L3" s="370"/>
      <c r="M3" s="370"/>
      <c r="N3" s="370"/>
      <c r="O3" s="370"/>
      <c r="P3" s="370"/>
      <c r="Q3" s="370"/>
      <c r="R3" s="370"/>
    </row>
    <row r="4" spans="1:50" ht="15" x14ac:dyDescent="0.25">
      <c r="A4" s="469"/>
      <c r="B4" s="370"/>
      <c r="C4" s="370"/>
      <c r="D4" s="370"/>
      <c r="E4" s="370"/>
      <c r="F4" s="370"/>
      <c r="G4" s="370"/>
      <c r="H4" s="370"/>
      <c r="I4" s="370"/>
      <c r="J4" s="370"/>
      <c r="K4" s="370"/>
      <c r="L4" s="370"/>
      <c r="M4" s="370"/>
      <c r="N4" s="370"/>
      <c r="O4" s="370"/>
      <c r="P4" s="370"/>
      <c r="Q4" s="370"/>
      <c r="R4" s="370"/>
    </row>
    <row r="5" spans="1:50" ht="21" x14ac:dyDescent="0.35">
      <c r="A5" s="1009" t="s">
        <v>359</v>
      </c>
      <c r="B5" s="1009"/>
      <c r="C5" s="1009"/>
      <c r="D5" s="1009"/>
      <c r="E5" s="1009"/>
      <c r="F5" s="1009"/>
      <c r="G5" s="1009"/>
      <c r="H5" s="1009"/>
      <c r="I5" s="1009"/>
      <c r="J5" s="1009"/>
      <c r="K5" s="1009"/>
      <c r="L5" s="1009"/>
      <c r="M5" s="1009"/>
      <c r="N5" s="1009"/>
      <c r="O5" s="370"/>
      <c r="P5" s="370"/>
      <c r="Q5" s="370"/>
      <c r="R5" s="370"/>
    </row>
    <row r="6" spans="1:50" ht="21" x14ac:dyDescent="0.4">
      <c r="A6" s="1009" t="s">
        <v>358</v>
      </c>
      <c r="B6" s="1009"/>
      <c r="C6" s="1009"/>
      <c r="D6" s="1009"/>
      <c r="E6" s="1009"/>
      <c r="F6" s="1009"/>
      <c r="G6" s="1009"/>
      <c r="H6" s="1009"/>
      <c r="I6" s="1009"/>
      <c r="J6" s="1009"/>
      <c r="K6" s="1009"/>
      <c r="L6" s="1009"/>
      <c r="M6" s="1009"/>
      <c r="N6" s="1009"/>
      <c r="O6" s="370"/>
      <c r="P6" s="370"/>
      <c r="Q6" s="370"/>
      <c r="R6" s="370"/>
    </row>
    <row r="7" spans="1:50" ht="15" customHeight="1" x14ac:dyDescent="0.3">
      <c r="A7" s="1032"/>
      <c r="B7" s="1032"/>
      <c r="C7" s="1032"/>
      <c r="D7" s="1032"/>
      <c r="E7" s="1032"/>
      <c r="F7" s="1032"/>
      <c r="G7" s="1032"/>
      <c r="H7" s="1032"/>
      <c r="I7" s="1032"/>
      <c r="J7" s="1032"/>
      <c r="K7" s="1032"/>
      <c r="L7" s="1033" t="s">
        <v>844</v>
      </c>
      <c r="M7" s="1033"/>
      <c r="N7" s="1030" t="s">
        <v>845</v>
      </c>
      <c r="O7" s="1030"/>
      <c r="P7" s="1030" t="s">
        <v>848</v>
      </c>
      <c r="Q7" s="1030"/>
      <c r="R7" s="370"/>
    </row>
    <row r="8" spans="1:50" s="480" customFormat="1" ht="18.75" customHeight="1" x14ac:dyDescent="0.3">
      <c r="A8" s="1018" t="s">
        <v>50</v>
      </c>
      <c r="B8" s="1020" t="s">
        <v>352</v>
      </c>
      <c r="C8" s="1022">
        <v>2021</v>
      </c>
      <c r="D8" s="1022"/>
      <c r="E8" s="1023"/>
      <c r="F8" s="1022">
        <v>2022</v>
      </c>
      <c r="G8" s="1022"/>
      <c r="H8" s="1023"/>
      <c r="I8" s="477" t="s">
        <v>346</v>
      </c>
      <c r="J8" s="478" t="s">
        <v>348</v>
      </c>
      <c r="K8" s="1024" t="s">
        <v>582</v>
      </c>
      <c r="L8" s="1028" t="s">
        <v>430</v>
      </c>
      <c r="M8" s="1028" t="s">
        <v>431</v>
      </c>
      <c r="N8" s="1026" t="s">
        <v>430</v>
      </c>
      <c r="O8" s="1012" t="s">
        <v>431</v>
      </c>
      <c r="P8" s="1012" t="s">
        <v>432</v>
      </c>
      <c r="Q8" s="1012" t="s">
        <v>433</v>
      </c>
      <c r="R8" s="1014" t="s">
        <v>361</v>
      </c>
      <c r="S8" s="479"/>
      <c r="T8" s="479"/>
      <c r="U8" s="479"/>
      <c r="V8" s="479"/>
      <c r="W8" s="479"/>
      <c r="X8" s="479"/>
      <c r="Y8" s="479"/>
      <c r="Z8" s="479"/>
      <c r="AA8" s="479"/>
      <c r="AB8" s="479"/>
      <c r="AC8" s="479"/>
      <c r="AD8" s="479"/>
      <c r="AE8" s="479"/>
      <c r="AF8" s="479"/>
      <c r="AG8" s="479"/>
      <c r="AH8" s="479"/>
      <c r="AI8" s="479"/>
      <c r="AJ8" s="479"/>
      <c r="AK8" s="479"/>
      <c r="AL8" s="479"/>
      <c r="AM8" s="479"/>
      <c r="AN8" s="479"/>
      <c r="AO8" s="479"/>
      <c r="AP8" s="479"/>
      <c r="AQ8" s="479"/>
      <c r="AR8" s="479"/>
      <c r="AS8" s="479"/>
      <c r="AT8" s="479"/>
      <c r="AU8" s="479"/>
      <c r="AV8" s="479"/>
      <c r="AW8" s="479"/>
      <c r="AX8" s="479"/>
    </row>
    <row r="9" spans="1:50" s="480" customFormat="1" x14ac:dyDescent="0.3">
      <c r="A9" s="1019"/>
      <c r="B9" s="1021"/>
      <c r="C9" s="481" t="s">
        <v>344</v>
      </c>
      <c r="D9" s="482" t="s">
        <v>345</v>
      </c>
      <c r="E9" s="483" t="s">
        <v>350</v>
      </c>
      <c r="F9" s="484" t="s">
        <v>344</v>
      </c>
      <c r="G9" s="485" t="s">
        <v>345</v>
      </c>
      <c r="H9" s="484" t="s">
        <v>351</v>
      </c>
      <c r="I9" s="484" t="s">
        <v>347</v>
      </c>
      <c r="J9" s="486" t="s">
        <v>347</v>
      </c>
      <c r="K9" s="1025"/>
      <c r="L9" s="1029"/>
      <c r="M9" s="1029"/>
      <c r="N9" s="1027"/>
      <c r="O9" s="1013"/>
      <c r="P9" s="1013"/>
      <c r="Q9" s="1013"/>
      <c r="R9" s="1015"/>
      <c r="S9" s="479"/>
      <c r="T9" s="479"/>
      <c r="U9" s="479"/>
      <c r="V9" s="479"/>
      <c r="W9" s="479"/>
      <c r="X9" s="479"/>
      <c r="Y9" s="479"/>
      <c r="Z9" s="479"/>
      <c r="AA9" s="479"/>
      <c r="AB9" s="479"/>
      <c r="AC9" s="479"/>
      <c r="AD9" s="479"/>
      <c r="AE9" s="479"/>
      <c r="AF9" s="479"/>
      <c r="AG9" s="479"/>
      <c r="AH9" s="479"/>
      <c r="AI9" s="479"/>
      <c r="AJ9" s="479"/>
      <c r="AK9" s="479"/>
      <c r="AL9" s="479"/>
      <c r="AM9" s="479"/>
      <c r="AN9" s="479"/>
      <c r="AO9" s="479"/>
      <c r="AP9" s="479"/>
      <c r="AQ9" s="479"/>
      <c r="AR9" s="479"/>
      <c r="AS9" s="479"/>
      <c r="AT9" s="479"/>
      <c r="AU9" s="479"/>
      <c r="AV9" s="479"/>
      <c r="AW9" s="479"/>
      <c r="AX9" s="479"/>
    </row>
    <row r="10" spans="1:50" s="493" customFormat="1" ht="20.100000000000001" customHeight="1" x14ac:dyDescent="0.3">
      <c r="A10" s="487" t="s">
        <v>330</v>
      </c>
      <c r="B10" s="488" t="s">
        <v>337</v>
      </c>
      <c r="C10" s="489">
        <f>+'RESUMEN en Q'!C10/'FICHA GENERAL'!$N$34</f>
        <v>253942.3376003915</v>
      </c>
      <c r="D10" s="489">
        <f>+'RESUMEN en Q'!D10/'FICHA GENERAL'!$N$34</f>
        <v>43836.59549617258</v>
      </c>
      <c r="E10" s="490">
        <f>SUM(C10:D10)</f>
        <v>297778.93309656408</v>
      </c>
      <c r="F10" s="489">
        <f>+'RESUMEN en Q'!F10/'FICHA GENERAL'!$N$34</f>
        <v>295753.80436101108</v>
      </c>
      <c r="G10" s="489">
        <f>+'RESUMEN en Q'!G10/'FICHA GENERAL'!$N$34</f>
        <v>169613.52468494349</v>
      </c>
      <c r="H10" s="490">
        <f>SUM(F10:G10)</f>
        <v>465367.32904595457</v>
      </c>
      <c r="I10" s="489">
        <f>+'RESUMEN en Q'!I10/'FICHA GENERAL'!$N$34</f>
        <v>549696.14196140261</v>
      </c>
      <c r="J10" s="489">
        <f>+'RESUMEN en Q'!J10/'FICHA GENERAL'!$N$34</f>
        <v>213450.12018111607</v>
      </c>
      <c r="K10" s="430">
        <f>+I10+J10</f>
        <v>763146.26214251865</v>
      </c>
      <c r="L10" s="433"/>
      <c r="M10" s="727"/>
      <c r="N10" s="506">
        <f>+N17*0.1298</f>
        <v>677766.36945599993</v>
      </c>
      <c r="O10" s="430">
        <f>+N10/$O$18</f>
        <v>71390.000000000029</v>
      </c>
      <c r="P10" s="506">
        <v>6069433.6305440003</v>
      </c>
      <c r="Q10" s="430">
        <f>+P10/$Q$18</f>
        <v>649137.28668919788</v>
      </c>
      <c r="R10" s="505">
        <f t="shared" ref="R10:R16" si="0">+K10/$K$17</f>
        <v>0.13227750816338599</v>
      </c>
      <c r="S10" s="474"/>
      <c r="T10" s="474"/>
      <c r="U10" s="491">
        <v>6747200</v>
      </c>
      <c r="V10" s="492"/>
      <c r="W10" s="474"/>
      <c r="X10" s="474"/>
      <c r="Y10" s="474"/>
      <c r="Z10" s="474"/>
      <c r="AA10" s="474"/>
      <c r="AB10" s="474"/>
      <c r="AC10" s="474"/>
      <c r="AD10" s="474"/>
      <c r="AE10" s="474"/>
      <c r="AF10" s="474"/>
      <c r="AG10" s="474"/>
      <c r="AH10" s="474"/>
      <c r="AI10" s="474"/>
      <c r="AJ10" s="474"/>
      <c r="AK10" s="474"/>
      <c r="AL10" s="474"/>
      <c r="AM10" s="474"/>
      <c r="AN10" s="474"/>
      <c r="AO10" s="474"/>
      <c r="AP10" s="474"/>
      <c r="AQ10" s="474"/>
      <c r="AR10" s="474"/>
      <c r="AS10" s="474"/>
      <c r="AT10" s="474"/>
      <c r="AU10" s="474"/>
      <c r="AV10" s="474"/>
      <c r="AW10" s="474"/>
      <c r="AX10" s="474"/>
    </row>
    <row r="11" spans="1:50" s="493" customFormat="1" ht="20.100000000000001" customHeight="1" x14ac:dyDescent="0.3">
      <c r="A11" s="494" t="s">
        <v>331</v>
      </c>
      <c r="B11" s="495" t="s">
        <v>338</v>
      </c>
      <c r="C11" s="489">
        <f>+'RESUMEN en Q'!C11/'FICHA GENERAL'!$N$34</f>
        <v>379202.98147295066</v>
      </c>
      <c r="D11" s="489">
        <f>+'RESUMEN en Q'!D11/'FICHA GENERAL'!$N$34</f>
        <v>957539.13877535646</v>
      </c>
      <c r="E11" s="490">
        <f t="shared" ref="E11:E16" si="1">SUM(C11:D11)</f>
        <v>1336742.120248307</v>
      </c>
      <c r="F11" s="489">
        <f>+'RESUMEN en Q'!F11/'FICHA GENERAL'!$N$34</f>
        <v>439246.05941128812</v>
      </c>
      <c r="G11" s="489">
        <f>+'RESUMEN en Q'!G11/'FICHA GENERAL'!$N$34</f>
        <v>695986.92120227637</v>
      </c>
      <c r="H11" s="490">
        <f t="shared" ref="H11:H16" si="2">SUM(F11:G11)</f>
        <v>1135232.9806135646</v>
      </c>
      <c r="I11" s="489">
        <f>+'RESUMEN en Q'!I11/'FICHA GENERAL'!$N$34</f>
        <v>818449.04088423878</v>
      </c>
      <c r="J11" s="489">
        <f>+'RESUMEN en Q'!J11/'FICHA GENERAL'!$N$34</f>
        <v>1653526.0599776327</v>
      </c>
      <c r="K11" s="430">
        <f t="shared" ref="K11:K16" si="3">+I11+J11</f>
        <v>2471975.1008618716</v>
      </c>
      <c r="L11" s="433">
        <v>1284067.6499999999</v>
      </c>
      <c r="M11" s="727">
        <f>+L11/M18</f>
        <v>144506.99444528174</v>
      </c>
      <c r="N11" s="506">
        <f>+N17*0.4396</f>
        <v>2295424.4685120001</v>
      </c>
      <c r="O11" s="430">
        <f t="shared" ref="O11:O16" si="4">+N11/$O$18</f>
        <v>241780.00000000015</v>
      </c>
      <c r="P11" s="506">
        <v>20551020.531488001</v>
      </c>
      <c r="Q11" s="430">
        <f t="shared" ref="Q11:Q16" si="5">+P11/$Q$18</f>
        <v>2197970.1103195725</v>
      </c>
      <c r="R11" s="505">
        <f t="shared" si="0"/>
        <v>0.42847187073410298</v>
      </c>
      <c r="S11" s="474"/>
      <c r="T11" s="474"/>
      <c r="U11" s="491">
        <v>22846445</v>
      </c>
      <c r="V11" s="492"/>
      <c r="W11" s="474"/>
      <c r="X11" s="474"/>
      <c r="Y11" s="474"/>
      <c r="Z11" s="474"/>
      <c r="AA11" s="474"/>
      <c r="AB11" s="474"/>
      <c r="AC11" s="474"/>
      <c r="AD11" s="474"/>
      <c r="AE11" s="474"/>
      <c r="AF11" s="474"/>
      <c r="AG11" s="474"/>
      <c r="AH11" s="474"/>
      <c r="AI11" s="474"/>
      <c r="AJ11" s="474"/>
      <c r="AK11" s="474"/>
      <c r="AL11" s="474"/>
      <c r="AM11" s="474"/>
      <c r="AN11" s="474"/>
      <c r="AO11" s="474"/>
      <c r="AP11" s="474"/>
      <c r="AQ11" s="474"/>
      <c r="AR11" s="474"/>
      <c r="AS11" s="474"/>
      <c r="AT11" s="474"/>
      <c r="AU11" s="474"/>
      <c r="AV11" s="474"/>
      <c r="AW11" s="474"/>
      <c r="AX11" s="474"/>
    </row>
    <row r="12" spans="1:50" s="493" customFormat="1" ht="20.100000000000001" customHeight="1" x14ac:dyDescent="0.25">
      <c r="A12" s="494" t="s">
        <v>332</v>
      </c>
      <c r="B12" s="495" t="s">
        <v>339</v>
      </c>
      <c r="C12" s="489">
        <f>+'RESUMEN en Q'!C12/'FICHA GENERAL'!$N$34</f>
        <v>274751.115815925</v>
      </c>
      <c r="D12" s="489">
        <f>+'RESUMEN en Q'!D12/'FICHA GENERAL'!$N$34</f>
        <v>256754.90940295468</v>
      </c>
      <c r="E12" s="490">
        <f t="shared" si="1"/>
        <v>531506.02521887969</v>
      </c>
      <c r="F12" s="489">
        <f>+'RESUMEN en Q'!F12/'FICHA GENERAL'!$N$34</f>
        <v>383782.18733343651</v>
      </c>
      <c r="G12" s="489">
        <f>+'RESUMEN en Q'!G12/'FICHA GENERAL'!$N$34</f>
        <v>665552.70300375181</v>
      </c>
      <c r="H12" s="490">
        <f t="shared" si="2"/>
        <v>1049334.8903371883</v>
      </c>
      <c r="I12" s="489">
        <f>+'RESUMEN en Q'!I12/'FICHA GENERAL'!$N$34</f>
        <v>658533.30314936151</v>
      </c>
      <c r="J12" s="489">
        <f>+'RESUMEN en Q'!J12/'FICHA GENERAL'!$N$34</f>
        <v>922307.61240670655</v>
      </c>
      <c r="K12" s="430">
        <f t="shared" si="3"/>
        <v>1580840.9155560681</v>
      </c>
      <c r="L12" s="433">
        <v>550000</v>
      </c>
      <c r="M12" s="727">
        <f>+L12/M18</f>
        <v>61896.152391118143</v>
      </c>
      <c r="N12" s="506">
        <f>+N17*0.2613</f>
        <v>1364409.4941359998</v>
      </c>
      <c r="O12" s="430">
        <f t="shared" si="4"/>
        <v>143715.00000000006</v>
      </c>
      <c r="P12" s="506">
        <v>12218210.505864</v>
      </c>
      <c r="Q12" s="430">
        <f t="shared" si="5"/>
        <v>1306760.4819105882</v>
      </c>
      <c r="R12" s="505">
        <f t="shared" si="0"/>
        <v>0.27400998666416954</v>
      </c>
      <c r="S12" s="474"/>
      <c r="T12" s="474"/>
      <c r="U12" s="491">
        <v>13582620</v>
      </c>
      <c r="V12" s="492"/>
      <c r="W12" s="474"/>
      <c r="X12" s="474"/>
      <c r="Y12" s="474"/>
      <c r="Z12" s="474"/>
      <c r="AA12" s="474"/>
      <c r="AB12" s="474"/>
      <c r="AC12" s="474"/>
      <c r="AD12" s="474"/>
      <c r="AE12" s="474"/>
      <c r="AF12" s="474"/>
      <c r="AG12" s="474"/>
      <c r="AH12" s="474"/>
      <c r="AI12" s="474"/>
      <c r="AJ12" s="474"/>
      <c r="AK12" s="474"/>
      <c r="AL12" s="474"/>
      <c r="AM12" s="474"/>
      <c r="AN12" s="474"/>
      <c r="AO12" s="474"/>
      <c r="AP12" s="474"/>
      <c r="AQ12" s="474"/>
      <c r="AR12" s="474"/>
      <c r="AS12" s="474"/>
      <c r="AT12" s="474"/>
      <c r="AU12" s="474"/>
      <c r="AV12" s="474"/>
      <c r="AW12" s="474"/>
      <c r="AX12" s="474"/>
    </row>
    <row r="13" spans="1:50" s="493" customFormat="1" ht="20.100000000000001" customHeight="1" x14ac:dyDescent="0.3">
      <c r="A13" s="494" t="s">
        <v>333</v>
      </c>
      <c r="B13" s="495" t="s">
        <v>340</v>
      </c>
      <c r="C13" s="489">
        <f>+'RESUMEN en Q'!C13/'FICHA GENERAL'!$N$34</f>
        <v>196451.43081703869</v>
      </c>
      <c r="D13" s="489">
        <f>+'RESUMEN en Q'!D13/'FICHA GENERAL'!$N$34</f>
        <v>19259.426871640382</v>
      </c>
      <c r="E13" s="490">
        <f t="shared" si="1"/>
        <v>215710.85768867907</v>
      </c>
      <c r="F13" s="489">
        <f>+'RESUMEN en Q'!F13/'FICHA GENERAL'!$N$34</f>
        <v>222350.76836936639</v>
      </c>
      <c r="G13" s="489">
        <f>+'RESUMEN en Q'!G13/'FICHA GENERAL'!$N$34</f>
        <v>0</v>
      </c>
      <c r="H13" s="490">
        <f t="shared" si="2"/>
        <v>222350.76836936639</v>
      </c>
      <c r="I13" s="489">
        <f>+'RESUMEN en Q'!I13/'FICHA GENERAL'!$N$34</f>
        <v>418802.19918640505</v>
      </c>
      <c r="J13" s="489">
        <f>+'RESUMEN en Q'!J13/'FICHA GENERAL'!$N$34</f>
        <v>19259.426871640382</v>
      </c>
      <c r="K13" s="430">
        <f t="shared" si="3"/>
        <v>438061.62605804543</v>
      </c>
      <c r="L13" s="433"/>
      <c r="M13" s="727"/>
      <c r="N13" s="506">
        <f>+N17*0.0788</f>
        <v>411463.71273599996</v>
      </c>
      <c r="O13" s="430">
        <f t="shared" si="4"/>
        <v>43340.000000000022</v>
      </c>
      <c r="P13" s="506">
        <v>3682692.0105973333</v>
      </c>
      <c r="Q13" s="430">
        <f t="shared" si="5"/>
        <v>393870.80327244208</v>
      </c>
      <c r="R13" s="505">
        <f t="shared" si="0"/>
        <v>7.5930006070235853E-2</v>
      </c>
      <c r="S13" s="474"/>
      <c r="T13" s="474"/>
      <c r="U13" s="491">
        <v>4094155.7233333332</v>
      </c>
      <c r="V13" s="492"/>
      <c r="W13" s="474"/>
      <c r="X13" s="474"/>
      <c r="Y13" s="474"/>
      <c r="Z13" s="474"/>
      <c r="AA13" s="474"/>
      <c r="AB13" s="474"/>
      <c r="AC13" s="474"/>
      <c r="AD13" s="474"/>
      <c r="AE13" s="474"/>
      <c r="AF13" s="474"/>
      <c r="AG13" s="474"/>
      <c r="AH13" s="474"/>
      <c r="AI13" s="474"/>
      <c r="AJ13" s="474"/>
      <c r="AK13" s="474"/>
      <c r="AL13" s="474"/>
      <c r="AM13" s="474"/>
      <c r="AN13" s="474"/>
      <c r="AO13" s="474"/>
      <c r="AP13" s="474"/>
      <c r="AQ13" s="474"/>
      <c r="AR13" s="474"/>
      <c r="AS13" s="474"/>
      <c r="AT13" s="474"/>
      <c r="AU13" s="474"/>
      <c r="AV13" s="474"/>
      <c r="AW13" s="474"/>
      <c r="AX13" s="474"/>
    </row>
    <row r="14" spans="1:50" s="493" customFormat="1" ht="20.100000000000001" customHeight="1" x14ac:dyDescent="0.25">
      <c r="A14" s="494" t="s">
        <v>334</v>
      </c>
      <c r="B14" s="495" t="s">
        <v>341</v>
      </c>
      <c r="C14" s="489">
        <f>+'RESUMEN en Q'!C14/'FICHA GENERAL'!$N$34</f>
        <v>154701.51754135691</v>
      </c>
      <c r="D14" s="489">
        <f>+'RESUMEN en Q'!D14/'FICHA GENERAL'!$N$34</f>
        <v>0</v>
      </c>
      <c r="E14" s="490">
        <f t="shared" si="1"/>
        <v>154701.51754135691</v>
      </c>
      <c r="F14" s="489">
        <f>+'RESUMEN en Q'!F14/'FICHA GENERAL'!$N$34</f>
        <v>157904.72401928494</v>
      </c>
      <c r="G14" s="489">
        <f>+'RESUMEN en Q'!G14/'FICHA GENERAL'!$N$34</f>
        <v>0</v>
      </c>
      <c r="H14" s="490">
        <f t="shared" si="2"/>
        <v>157904.72401928494</v>
      </c>
      <c r="I14" s="489">
        <f>+'RESUMEN en Q'!I14/'FICHA GENERAL'!$N$34</f>
        <v>312606.24156064185</v>
      </c>
      <c r="J14" s="489">
        <f>+'RESUMEN en Q'!J14/'FICHA GENERAL'!$N$34</f>
        <v>0</v>
      </c>
      <c r="K14" s="430">
        <f t="shared" si="3"/>
        <v>312606.24156064185</v>
      </c>
      <c r="L14" s="433">
        <v>114440.6</v>
      </c>
      <c r="M14" s="727">
        <f>+L14/M18</f>
        <v>12878.968758783629</v>
      </c>
      <c r="N14" s="506">
        <f>+N17*0.054</f>
        <v>281967.51887999999</v>
      </c>
      <c r="O14" s="430">
        <f t="shared" si="4"/>
        <v>29700.000000000015</v>
      </c>
      <c r="P14" s="506">
        <v>2525232.4811200001</v>
      </c>
      <c r="Q14" s="430">
        <f t="shared" si="5"/>
        <v>270078.34022673802</v>
      </c>
      <c r="R14" s="505">
        <f t="shared" si="0"/>
        <v>5.4184599625596935E-2</v>
      </c>
      <c r="S14" s="474"/>
      <c r="T14" s="474"/>
      <c r="U14" s="491">
        <v>2807200</v>
      </c>
      <c r="V14" s="492"/>
      <c r="W14" s="474"/>
      <c r="X14" s="474"/>
      <c r="Y14" s="474"/>
      <c r="Z14" s="474"/>
      <c r="AA14" s="474"/>
      <c r="AB14" s="474"/>
      <c r="AC14" s="474"/>
      <c r="AD14" s="474"/>
      <c r="AE14" s="474"/>
      <c r="AF14" s="474"/>
      <c r="AG14" s="474"/>
      <c r="AH14" s="474"/>
      <c r="AI14" s="474"/>
      <c r="AJ14" s="474"/>
      <c r="AK14" s="474"/>
      <c r="AL14" s="474"/>
      <c r="AM14" s="474"/>
      <c r="AN14" s="474"/>
      <c r="AO14" s="474"/>
      <c r="AP14" s="474"/>
      <c r="AQ14" s="474"/>
      <c r="AR14" s="474"/>
      <c r="AS14" s="474"/>
      <c r="AT14" s="474"/>
      <c r="AU14" s="474"/>
      <c r="AV14" s="474"/>
      <c r="AW14" s="474"/>
      <c r="AX14" s="474"/>
    </row>
    <row r="15" spans="1:50" s="493" customFormat="1" ht="20.100000000000001" customHeight="1" x14ac:dyDescent="0.3">
      <c r="A15" s="494" t="s">
        <v>335</v>
      </c>
      <c r="B15" s="495" t="s">
        <v>342</v>
      </c>
      <c r="C15" s="489">
        <f>+'RESUMEN en Q'!C15/'FICHA GENERAL'!$N$34</f>
        <v>59169.239222317396</v>
      </c>
      <c r="D15" s="489">
        <f>+'RESUMEN en Q'!D15/'FICHA GENERAL'!$N$34</f>
        <v>0</v>
      </c>
      <c r="E15" s="490">
        <f t="shared" si="1"/>
        <v>59169.239222317396</v>
      </c>
      <c r="F15" s="489">
        <f>+'RESUMEN en Q'!F15/'FICHA GENERAL'!$N$34</f>
        <v>69012.946290044711</v>
      </c>
      <c r="G15" s="489">
        <f>+'RESUMEN en Q'!G15/'FICHA GENERAL'!$N$34</f>
        <v>0</v>
      </c>
      <c r="H15" s="490">
        <f t="shared" si="2"/>
        <v>69012.946290044711</v>
      </c>
      <c r="I15" s="489">
        <f>+'RESUMEN en Q'!I15/'FICHA GENERAL'!$N$34</f>
        <v>128182.18551236211</v>
      </c>
      <c r="J15" s="489">
        <f>+'RESUMEN en Q'!J15/'FICHA GENERAL'!$N$34</f>
        <v>0</v>
      </c>
      <c r="K15" s="430">
        <f t="shared" si="3"/>
        <v>128182.18551236211</v>
      </c>
      <c r="L15" s="433"/>
      <c r="M15" s="727"/>
      <c r="N15" s="506">
        <f>+N17*0.0231</f>
        <v>120619.43863199999</v>
      </c>
      <c r="O15" s="430">
        <f t="shared" si="4"/>
        <v>12705.000000000005</v>
      </c>
      <c r="P15" s="506">
        <v>1077380.561368</v>
      </c>
      <c r="Q15" s="430">
        <f t="shared" si="5"/>
        <v>115227.86752598931</v>
      </c>
      <c r="R15" s="505">
        <f t="shared" si="0"/>
        <v>2.2218047747373557E-2</v>
      </c>
      <c r="S15" s="474"/>
      <c r="T15" s="474"/>
      <c r="U15" s="491">
        <v>1198000</v>
      </c>
      <c r="V15" s="492"/>
      <c r="W15" s="474"/>
      <c r="X15" s="474"/>
      <c r="Y15" s="474"/>
      <c r="Z15" s="474"/>
      <c r="AA15" s="474"/>
      <c r="AB15" s="474"/>
      <c r="AC15" s="474"/>
      <c r="AD15" s="474"/>
      <c r="AE15" s="474"/>
      <c r="AF15" s="474"/>
      <c r="AG15" s="474"/>
      <c r="AH15" s="474"/>
      <c r="AI15" s="474"/>
      <c r="AJ15" s="474"/>
      <c r="AK15" s="474"/>
      <c r="AL15" s="474"/>
      <c r="AM15" s="474"/>
      <c r="AN15" s="474"/>
      <c r="AO15" s="474"/>
      <c r="AP15" s="474"/>
      <c r="AQ15" s="474"/>
      <c r="AR15" s="474"/>
      <c r="AS15" s="474"/>
      <c r="AT15" s="474"/>
      <c r="AU15" s="474"/>
      <c r="AV15" s="474"/>
      <c r="AW15" s="474"/>
      <c r="AX15" s="474"/>
    </row>
    <row r="16" spans="1:50" s="493" customFormat="1" ht="20.100000000000001" customHeight="1" x14ac:dyDescent="0.3">
      <c r="A16" s="496" t="s">
        <v>336</v>
      </c>
      <c r="B16" s="497" t="s">
        <v>343</v>
      </c>
      <c r="C16" s="489">
        <f>+'RESUMEN en Q'!C16/'FICHA GENERAL'!$N$34</f>
        <v>38304.860111373651</v>
      </c>
      <c r="D16" s="489">
        <f>+'RESUMEN en Q'!D16/'FICHA GENERAL'!$N$34</f>
        <v>0</v>
      </c>
      <c r="E16" s="490">
        <f t="shared" si="1"/>
        <v>38304.860111373651</v>
      </c>
      <c r="F16" s="489">
        <f>+'RESUMEN en Q'!F16/'FICHA GENERAL'!$N$34</f>
        <v>36164.923792302499</v>
      </c>
      <c r="G16" s="489">
        <f>+'RESUMEN en Q'!G16/'FICHA GENERAL'!$N$34</f>
        <v>0</v>
      </c>
      <c r="H16" s="490">
        <f t="shared" si="2"/>
        <v>36164.923792302499</v>
      </c>
      <c r="I16" s="489">
        <f>+'RESUMEN en Q'!I16/'FICHA GENERAL'!$N$34</f>
        <v>74469.783903676143</v>
      </c>
      <c r="J16" s="489">
        <f>+'RESUMEN en Q'!J16/'FICHA GENERAL'!$N$34</f>
        <v>0</v>
      </c>
      <c r="K16" s="430">
        <f t="shared" si="3"/>
        <v>74469.783903676143</v>
      </c>
      <c r="L16" s="433"/>
      <c r="M16" s="727"/>
      <c r="N16" s="506">
        <f>+N17*0.0134</f>
        <v>69969.717648000005</v>
      </c>
      <c r="O16" s="430">
        <f t="shared" si="4"/>
        <v>7370.0000000000045</v>
      </c>
      <c r="P16" s="506">
        <v>626030.28235200001</v>
      </c>
      <c r="Q16" s="430">
        <f t="shared" si="5"/>
        <v>66955.110411978618</v>
      </c>
      <c r="R16" s="505">
        <f t="shared" si="0"/>
        <v>1.290798099513522E-2</v>
      </c>
      <c r="S16" s="474"/>
      <c r="T16" s="474"/>
      <c r="U16" s="491">
        <v>696000</v>
      </c>
      <c r="V16" s="492"/>
      <c r="W16" s="474"/>
      <c r="X16" s="474"/>
      <c r="Y16" s="474"/>
      <c r="Z16" s="474"/>
      <c r="AA16" s="474"/>
      <c r="AB16" s="474"/>
      <c r="AC16" s="474"/>
      <c r="AD16" s="474"/>
      <c r="AE16" s="474"/>
      <c r="AF16" s="474"/>
      <c r="AG16" s="474"/>
      <c r="AH16" s="474"/>
      <c r="AI16" s="474"/>
      <c r="AJ16" s="474"/>
      <c r="AK16" s="474"/>
      <c r="AL16" s="474"/>
      <c r="AM16" s="474"/>
      <c r="AN16" s="474"/>
      <c r="AO16" s="474"/>
      <c r="AP16" s="474"/>
      <c r="AQ16" s="474"/>
      <c r="AR16" s="474"/>
      <c r="AS16" s="474"/>
      <c r="AT16" s="474"/>
      <c r="AU16" s="474"/>
      <c r="AV16" s="474"/>
      <c r="AW16" s="474"/>
      <c r="AX16" s="474"/>
    </row>
    <row r="17" spans="1:50" s="493" customFormat="1" ht="27.75" customHeight="1" x14ac:dyDescent="0.25">
      <c r="A17" s="1016" t="s">
        <v>349</v>
      </c>
      <c r="B17" s="1017"/>
      <c r="C17" s="498">
        <f t="shared" ref="C17:J17" si="6">SUM(C10:C16)</f>
        <v>1356523.482581354</v>
      </c>
      <c r="D17" s="498">
        <f t="shared" si="6"/>
        <v>1277390.0705461241</v>
      </c>
      <c r="E17" s="499">
        <f t="shared" si="6"/>
        <v>2633913.5531274774</v>
      </c>
      <c r="F17" s="498">
        <f t="shared" si="6"/>
        <v>1604215.4135767345</v>
      </c>
      <c r="G17" s="498">
        <f t="shared" si="6"/>
        <v>1531153.1488909717</v>
      </c>
      <c r="H17" s="499">
        <f t="shared" si="6"/>
        <v>3135368.5624677059</v>
      </c>
      <c r="I17" s="500">
        <f t="shared" si="6"/>
        <v>2960738.896158088</v>
      </c>
      <c r="J17" s="501">
        <f t="shared" si="6"/>
        <v>2808543.2194370958</v>
      </c>
      <c r="K17" s="515">
        <f>SUM(K10:K16)</f>
        <v>5769282.1155951833</v>
      </c>
      <c r="L17" s="515">
        <f t="shared" ref="L17:M17" si="7">SUM(L10:L16)</f>
        <v>1948508.25</v>
      </c>
      <c r="M17" s="501">
        <f t="shared" si="7"/>
        <v>219282.11559518351</v>
      </c>
      <c r="N17" s="515">
        <v>5221620.72</v>
      </c>
      <c r="O17" s="501">
        <f>SUM(O10:O16)</f>
        <v>550000.00000000023</v>
      </c>
      <c r="P17" s="515">
        <v>46750000.003333338</v>
      </c>
      <c r="Q17" s="501">
        <f>SUM(Q10:Q16)</f>
        <v>5000000.0003565056</v>
      </c>
      <c r="R17" s="511">
        <f>SUM(R10:R16)</f>
        <v>1</v>
      </c>
      <c r="S17" s="474"/>
      <c r="T17" s="474"/>
      <c r="U17" s="502">
        <f>SUM(U10:U16)</f>
        <v>51971620.723333336</v>
      </c>
      <c r="V17" s="474"/>
      <c r="W17" s="474"/>
      <c r="X17" s="474"/>
      <c r="Y17" s="474"/>
      <c r="Z17" s="474"/>
      <c r="AA17" s="474"/>
      <c r="AB17" s="474"/>
      <c r="AC17" s="474"/>
      <c r="AD17" s="474"/>
      <c r="AE17" s="474"/>
      <c r="AF17" s="474"/>
      <c r="AG17" s="474"/>
      <c r="AH17" s="474"/>
      <c r="AI17" s="474"/>
      <c r="AJ17" s="474"/>
      <c r="AK17" s="474"/>
      <c r="AL17" s="474"/>
      <c r="AM17" s="474"/>
      <c r="AN17" s="474"/>
      <c r="AO17" s="474"/>
      <c r="AP17" s="474"/>
      <c r="AQ17" s="474"/>
      <c r="AR17" s="474"/>
      <c r="AS17" s="474"/>
      <c r="AT17" s="474"/>
      <c r="AU17" s="474"/>
      <c r="AV17" s="474"/>
      <c r="AW17" s="474"/>
      <c r="AX17" s="474"/>
    </row>
    <row r="18" spans="1:50" s="533" customFormat="1" ht="18.75" customHeight="1" x14ac:dyDescent="0.25">
      <c r="A18" s="1007" t="s">
        <v>360</v>
      </c>
      <c r="B18" s="1007"/>
      <c r="C18" s="503">
        <f>+C17/K17</f>
        <v>0.23512864432725167</v>
      </c>
      <c r="D18" s="503">
        <f>+D17/K17</f>
        <v>0.22141230831703629</v>
      </c>
      <c r="E18" s="504">
        <f>+E17/K17</f>
        <v>0.45654095264428785</v>
      </c>
      <c r="F18" s="503">
        <f>+F17/K17</f>
        <v>0.27806153026219915</v>
      </c>
      <c r="G18" s="503">
        <f>+G17/K17</f>
        <v>0.265397517093513</v>
      </c>
      <c r="H18" s="504">
        <f>+H17/K17</f>
        <v>0.54345904735571215</v>
      </c>
      <c r="I18" s="503">
        <f>+I17/K17</f>
        <v>0.51319017458945071</v>
      </c>
      <c r="J18" s="503">
        <f>+J17/K17</f>
        <v>0.48680982541054929</v>
      </c>
      <c r="K18" s="504">
        <f>+E18+H18</f>
        <v>1</v>
      </c>
      <c r="L18" s="512" t="s">
        <v>584</v>
      </c>
      <c r="M18" s="516">
        <v>8.8858511999999994</v>
      </c>
      <c r="N18" s="512" t="s">
        <v>584</v>
      </c>
      <c r="O18" s="516">
        <v>9.4938558545454494</v>
      </c>
      <c r="P18" s="512" t="s">
        <v>583</v>
      </c>
      <c r="Q18" s="516">
        <v>9.35</v>
      </c>
      <c r="R18" s="929"/>
      <c r="S18" s="532"/>
      <c r="T18" s="532"/>
      <c r="U18" s="532"/>
      <c r="V18" s="532"/>
      <c r="W18" s="532"/>
      <c r="X18" s="532"/>
      <c r="Y18" s="532"/>
      <c r="Z18" s="532"/>
      <c r="AA18" s="532"/>
      <c r="AB18" s="532"/>
      <c r="AC18" s="532"/>
      <c r="AD18" s="532"/>
      <c r="AE18" s="532"/>
      <c r="AF18" s="532"/>
      <c r="AG18" s="532"/>
      <c r="AH18" s="532"/>
      <c r="AI18" s="532"/>
      <c r="AJ18" s="532"/>
      <c r="AK18" s="532"/>
      <c r="AL18" s="532"/>
      <c r="AM18" s="532"/>
      <c r="AN18" s="532"/>
      <c r="AO18" s="532"/>
      <c r="AP18" s="532"/>
      <c r="AQ18" s="532"/>
      <c r="AR18" s="532"/>
      <c r="AS18" s="532"/>
      <c r="AT18" s="532"/>
      <c r="AU18" s="532"/>
      <c r="AV18" s="532"/>
      <c r="AW18" s="532"/>
      <c r="AX18" s="532"/>
    </row>
    <row r="19" spans="1:50" s="531" customFormat="1" ht="18.75" customHeight="1" x14ac:dyDescent="0.25">
      <c r="A19" s="529"/>
      <c r="B19" s="529"/>
      <c r="C19" s="529"/>
      <c r="D19" s="529"/>
      <c r="E19" s="529"/>
      <c r="F19" s="529"/>
      <c r="G19" s="529"/>
      <c r="H19" s="529"/>
      <c r="I19" s="529"/>
      <c r="J19" s="529"/>
      <c r="K19" s="529"/>
      <c r="L19" s="529"/>
      <c r="M19" s="529"/>
      <c r="N19" s="530"/>
      <c r="O19" s="529"/>
      <c r="P19" s="530"/>
      <c r="Q19" s="930" t="s">
        <v>846</v>
      </c>
      <c r="R19" s="529"/>
    </row>
    <row r="20" spans="1:50" s="370" customFormat="1" ht="21" x14ac:dyDescent="0.4">
      <c r="A20" s="469"/>
      <c r="D20" s="527"/>
      <c r="G20" s="1009" t="s">
        <v>376</v>
      </c>
      <c r="H20" s="1009"/>
      <c r="I20" s="1009"/>
      <c r="J20" s="1009"/>
      <c r="K20" s="1009"/>
      <c r="L20" s="1009"/>
      <c r="M20" s="1009"/>
      <c r="N20" s="1009"/>
      <c r="O20" s="1009"/>
      <c r="P20" s="1009"/>
      <c r="Q20" s="1009"/>
      <c r="R20" s="1009"/>
    </row>
    <row r="21" spans="1:50" s="370" customFormat="1" ht="15" x14ac:dyDescent="0.25">
      <c r="A21" s="469"/>
      <c r="O21" s="431"/>
    </row>
    <row r="22" spans="1:50" s="370" customFormat="1" ht="15" x14ac:dyDescent="0.25">
      <c r="A22" s="469"/>
    </row>
    <row r="23" spans="1:50" s="370" customFormat="1" ht="18" x14ac:dyDescent="0.35">
      <c r="A23" s="1008" t="s">
        <v>377</v>
      </c>
      <c r="B23" s="1008"/>
      <c r="C23" s="1008"/>
      <c r="D23" s="1008"/>
      <c r="E23" s="1008"/>
    </row>
    <row r="24" spans="1:50" ht="15" customHeight="1" x14ac:dyDescent="0.3">
      <c r="A24" s="1000" t="s">
        <v>50</v>
      </c>
      <c r="B24" s="1000" t="s">
        <v>362</v>
      </c>
      <c r="C24" s="1011">
        <v>2021</v>
      </c>
      <c r="D24" s="1010" t="s">
        <v>585</v>
      </c>
      <c r="E24" s="1011">
        <v>2022</v>
      </c>
      <c r="F24" s="1010" t="s">
        <v>586</v>
      </c>
      <c r="G24" s="370"/>
      <c r="H24" s="370"/>
      <c r="I24" s="370"/>
      <c r="R24" s="370"/>
    </row>
    <row r="25" spans="1:50" x14ac:dyDescent="0.3">
      <c r="A25" s="1000"/>
      <c r="B25" s="1000"/>
      <c r="C25" s="1011"/>
      <c r="D25" s="1010"/>
      <c r="E25" s="1011"/>
      <c r="F25" s="1010"/>
      <c r="G25" s="370"/>
      <c r="H25" s="370"/>
      <c r="I25" s="370"/>
      <c r="R25" s="370"/>
    </row>
    <row r="26" spans="1:50" ht="15" x14ac:dyDescent="0.25">
      <c r="A26" s="471">
        <v>1</v>
      </c>
      <c r="B26" s="337" t="s">
        <v>364</v>
      </c>
      <c r="C26" s="489">
        <f>+'RESUMEN en Q'!C26/'FICHA GENERAL'!$N$34</f>
        <v>0</v>
      </c>
      <c r="D26" s="514">
        <f>+C26</f>
        <v>0</v>
      </c>
      <c r="E26" s="489">
        <f>+'RESUMEN en Q'!D26/'FICHA GENERAL'!$N$34</f>
        <v>92166.749111564641</v>
      </c>
      <c r="F26" s="514">
        <f>+E26</f>
        <v>92166.749111564641</v>
      </c>
      <c r="G26" s="370"/>
      <c r="H26" s="370"/>
      <c r="I26" s="370"/>
      <c r="R26" s="370"/>
    </row>
    <row r="27" spans="1:50" ht="15" x14ac:dyDescent="0.25">
      <c r="A27" s="472">
        <v>2</v>
      </c>
      <c r="B27" s="178" t="s">
        <v>365</v>
      </c>
      <c r="C27" s="489">
        <f>+'RESUMEN en Q'!C27/'FICHA GENERAL'!$N$34</f>
        <v>73304.607837368763</v>
      </c>
      <c r="D27" s="514">
        <f>+D26+C27</f>
        <v>73304.607837368763</v>
      </c>
      <c r="E27" s="489">
        <f>+'RESUMEN en Q'!D27/'FICHA GENERAL'!$N$34</f>
        <v>471892.89472602459</v>
      </c>
      <c r="F27" s="514">
        <f>+F26+E27</f>
        <v>564059.64383758919</v>
      </c>
      <c r="G27" s="370"/>
      <c r="H27" s="370"/>
      <c r="I27" s="370"/>
      <c r="R27" s="370"/>
    </row>
    <row r="28" spans="1:50" ht="15" x14ac:dyDescent="0.25">
      <c r="A28" s="472">
        <v>3</v>
      </c>
      <c r="B28" s="178" t="s">
        <v>366</v>
      </c>
      <c r="C28" s="489">
        <f>+'RESUMEN en Q'!C28/'FICHA GENERAL'!$N$34</f>
        <v>144235.4538639223</v>
      </c>
      <c r="D28" s="514">
        <f t="shared" ref="D28:F37" si="8">+D27+C28</f>
        <v>217540.06170129107</v>
      </c>
      <c r="E28" s="489">
        <f>+'RESUMEN en Q'!D28/'FICHA GENERAL'!$N$34</f>
        <v>649501.01927503594</v>
      </c>
      <c r="F28" s="514">
        <f t="shared" si="8"/>
        <v>1213560.663112625</v>
      </c>
      <c r="G28" s="370"/>
      <c r="H28" s="370"/>
      <c r="I28" s="370"/>
      <c r="R28" s="370"/>
    </row>
    <row r="29" spans="1:50" ht="15" x14ac:dyDescent="0.25">
      <c r="A29" s="472">
        <v>4</v>
      </c>
      <c r="B29" s="178" t="s">
        <v>367</v>
      </c>
      <c r="C29" s="489">
        <f>+'RESUMEN en Q'!C29/'FICHA GENERAL'!$N$34</f>
        <v>69590.59642014213</v>
      </c>
      <c r="D29" s="514">
        <f t="shared" si="8"/>
        <v>287130.65812143323</v>
      </c>
      <c r="E29" s="489">
        <f>+'RESUMEN en Q'!D29/'FICHA GENERAL'!$N$34</f>
        <v>648612.03622968576</v>
      </c>
      <c r="F29" s="514">
        <f t="shared" si="8"/>
        <v>1862172.6993423109</v>
      </c>
      <c r="G29" s="370"/>
      <c r="H29" s="370"/>
      <c r="I29" s="370"/>
      <c r="R29" s="370"/>
    </row>
    <row r="30" spans="1:50" ht="15" x14ac:dyDescent="0.25">
      <c r="A30" s="472">
        <v>5</v>
      </c>
      <c r="B30" s="178" t="s">
        <v>368</v>
      </c>
      <c r="C30" s="489">
        <f>+'RESUMEN en Q'!C30/'FICHA GENERAL'!$N$34</f>
        <v>264283.90834252787</v>
      </c>
      <c r="D30" s="514">
        <f t="shared" si="8"/>
        <v>551414.56646396103</v>
      </c>
      <c r="E30" s="489">
        <f>+'RESUMEN en Q'!D30/'FICHA GENERAL'!$N$34</f>
        <v>249992.40248385991</v>
      </c>
      <c r="F30" s="514">
        <f t="shared" si="8"/>
        <v>2112165.1018261709</v>
      </c>
      <c r="G30" s="370"/>
      <c r="H30" s="370"/>
      <c r="I30" s="370"/>
      <c r="R30" s="370"/>
    </row>
    <row r="31" spans="1:50" ht="15" x14ac:dyDescent="0.25">
      <c r="A31" s="472">
        <v>6</v>
      </c>
      <c r="B31" s="178" t="s">
        <v>369</v>
      </c>
      <c r="C31" s="489">
        <f>+'RESUMEN en Q'!C31/'FICHA GENERAL'!$N$34</f>
        <v>123454.53440935865</v>
      </c>
      <c r="D31" s="514">
        <f t="shared" si="8"/>
        <v>674869.10087331966</v>
      </c>
      <c r="E31" s="489">
        <f>+'RESUMEN en Q'!D31/'FICHA GENERAL'!$N$34</f>
        <v>319712.86521939753</v>
      </c>
      <c r="F31" s="514">
        <f t="shared" si="8"/>
        <v>2431877.9670455684</v>
      </c>
      <c r="G31" s="370"/>
      <c r="H31" s="370"/>
      <c r="I31" s="370"/>
      <c r="R31" s="370"/>
    </row>
    <row r="32" spans="1:50" ht="15" x14ac:dyDescent="0.25">
      <c r="A32" s="470">
        <v>7</v>
      </c>
      <c r="B32" s="178" t="s">
        <v>370</v>
      </c>
      <c r="C32" s="489">
        <f>+'RESUMEN en Q'!C32/'FICHA GENERAL'!$N$34</f>
        <v>95282.585556145539</v>
      </c>
      <c r="D32" s="514">
        <f t="shared" si="8"/>
        <v>770151.68642946519</v>
      </c>
      <c r="E32" s="489">
        <f>+'RESUMEN en Q'!D32/'FICHA GENERAL'!$N$34</f>
        <v>152904.67935225874</v>
      </c>
      <c r="F32" s="514">
        <f t="shared" si="8"/>
        <v>2584782.6463978272</v>
      </c>
      <c r="G32" s="370"/>
      <c r="H32" s="370"/>
      <c r="I32" s="370"/>
      <c r="R32" s="370"/>
    </row>
    <row r="33" spans="1:51" s="370" customFormat="1" ht="15" x14ac:dyDescent="0.25">
      <c r="A33" s="470">
        <v>8</v>
      </c>
      <c r="B33" s="178" t="s">
        <v>371</v>
      </c>
      <c r="C33" s="489">
        <f>+'RESUMEN en Q'!C33/'FICHA GENERAL'!$N$34</f>
        <v>248291.056813064</v>
      </c>
      <c r="D33" s="514">
        <f t="shared" si="8"/>
        <v>1018442.7432425292</v>
      </c>
      <c r="E33" s="489">
        <f>+'RESUMEN en Q'!D33/'FICHA GENERAL'!$N$34</f>
        <v>149892.56383778297</v>
      </c>
      <c r="F33" s="514">
        <f t="shared" si="8"/>
        <v>2734675.2102356101</v>
      </c>
      <c r="J33"/>
      <c r="K33"/>
      <c r="L33"/>
      <c r="M33"/>
      <c r="N33"/>
      <c r="O33"/>
      <c r="P33"/>
      <c r="Q33"/>
      <c r="AV33"/>
      <c r="AW33"/>
      <c r="AX33"/>
      <c r="AY33"/>
    </row>
    <row r="34" spans="1:51" s="370" customFormat="1" ht="15" x14ac:dyDescent="0.25">
      <c r="A34" s="470">
        <v>9</v>
      </c>
      <c r="B34" s="178" t="s">
        <v>372</v>
      </c>
      <c r="C34" s="489">
        <f>+'RESUMEN en Q'!C34/'FICHA GENERAL'!$N$34</f>
        <v>471568.52531871619</v>
      </c>
      <c r="D34" s="514">
        <f t="shared" si="8"/>
        <v>1490011.2685612454</v>
      </c>
      <c r="E34" s="489">
        <f>+'RESUMEN en Q'!D34/'FICHA GENERAL'!$N$34</f>
        <v>141221.11709554732</v>
      </c>
      <c r="F34" s="514">
        <f t="shared" si="8"/>
        <v>2875896.3273311574</v>
      </c>
      <c r="J34"/>
      <c r="K34"/>
      <c r="L34"/>
      <c r="M34"/>
      <c r="N34"/>
      <c r="O34"/>
      <c r="P34"/>
      <c r="Q34"/>
      <c r="AV34"/>
      <c r="AW34"/>
      <c r="AX34"/>
      <c r="AY34"/>
    </row>
    <row r="35" spans="1:51" s="370" customFormat="1" ht="15" x14ac:dyDescent="0.25">
      <c r="A35" s="470">
        <v>10</v>
      </c>
      <c r="B35" s="178" t="s">
        <v>373</v>
      </c>
      <c r="C35" s="489">
        <f>+'RESUMEN en Q'!C35/'FICHA GENERAL'!$N$34</f>
        <v>277589.93072753714</v>
      </c>
      <c r="D35" s="514">
        <f t="shared" si="8"/>
        <v>1767601.1992887827</v>
      </c>
      <c r="E35" s="489">
        <f>+'RESUMEN en Q'!D35/'FICHA GENERAL'!$N$34</f>
        <v>118915.95309995407</v>
      </c>
      <c r="F35" s="514">
        <f t="shared" si="8"/>
        <v>2994812.2804311113</v>
      </c>
      <c r="AV35"/>
      <c r="AW35"/>
      <c r="AX35"/>
      <c r="AY35"/>
    </row>
    <row r="36" spans="1:51" s="370" customFormat="1" ht="15" x14ac:dyDescent="0.25">
      <c r="A36" s="470">
        <v>11</v>
      </c>
      <c r="B36" s="178" t="s">
        <v>374</v>
      </c>
      <c r="C36" s="489">
        <f>+'RESUMEN en Q'!C36/'FICHA GENERAL'!$N$34</f>
        <v>543975.8856766707</v>
      </c>
      <c r="D36" s="514">
        <f t="shared" si="8"/>
        <v>2311577.0849654535</v>
      </c>
      <c r="E36" s="489">
        <f>+'RESUMEN en Q'!D36/'FICHA GENERAL'!$N$34</f>
        <v>140556.28203659432</v>
      </c>
      <c r="F36" s="514">
        <f t="shared" si="8"/>
        <v>3135368.5624677055</v>
      </c>
      <c r="AV36"/>
      <c r="AW36"/>
      <c r="AX36"/>
      <c r="AY36"/>
    </row>
    <row r="37" spans="1:51" s="370" customFormat="1" ht="15" x14ac:dyDescent="0.25">
      <c r="A37" s="470">
        <v>12</v>
      </c>
      <c r="B37" s="178" t="s">
        <v>375</v>
      </c>
      <c r="C37" s="489">
        <f>+'RESUMEN en Q'!C37/'FICHA GENERAL'!$N$34</f>
        <v>322336.46816202486</v>
      </c>
      <c r="D37" s="514">
        <f t="shared" si="8"/>
        <v>2633913.5531274783</v>
      </c>
      <c r="E37" s="489">
        <f>+'RESUMEN en Q'!D37/'FICHA GENERAL'!$N$34</f>
        <v>0</v>
      </c>
      <c r="F37" s="514">
        <f t="shared" si="8"/>
        <v>3135368.5624677055</v>
      </c>
      <c r="AV37"/>
      <c r="AW37"/>
      <c r="AX37"/>
      <c r="AY37"/>
    </row>
    <row r="38" spans="1:51" s="370" customFormat="1" ht="15" x14ac:dyDescent="0.25">
      <c r="A38" s="1005" t="s">
        <v>349</v>
      </c>
      <c r="B38" s="1006"/>
      <c r="C38" s="498">
        <f>SUM(C26:C37)</f>
        <v>2633913.5531274783</v>
      </c>
      <c r="D38" s="513"/>
      <c r="E38" s="501">
        <f>SUM(E26:E37)</f>
        <v>3135368.5624677055</v>
      </c>
      <c r="F38" s="513"/>
      <c r="AV38"/>
      <c r="AW38"/>
      <c r="AX38"/>
      <c r="AY38"/>
    </row>
    <row r="39" spans="1:51" s="370" customFormat="1" ht="15" x14ac:dyDescent="0.25">
      <c r="A39" s="469"/>
      <c r="C39" s="385"/>
      <c r="D39" s="385"/>
      <c r="AV39"/>
      <c r="AW39"/>
      <c r="AX39"/>
      <c r="AY39"/>
    </row>
    <row r="40" spans="1:51" s="370" customFormat="1" ht="15" x14ac:dyDescent="0.25">
      <c r="A40" s="469"/>
      <c r="D40" s="716"/>
      <c r="AV40"/>
      <c r="AW40"/>
      <c r="AX40"/>
      <c r="AY40"/>
    </row>
    <row r="41" spans="1:51" s="370" customFormat="1" ht="15" x14ac:dyDescent="0.25">
      <c r="A41" s="469"/>
      <c r="K41" s="534"/>
      <c r="L41" s="534"/>
      <c r="M41" s="534"/>
      <c r="AV41"/>
      <c r="AW41"/>
      <c r="AX41"/>
      <c r="AY41"/>
    </row>
    <row r="42" spans="1:51" s="370" customFormat="1" ht="15" x14ac:dyDescent="0.25">
      <c r="A42" s="469"/>
      <c r="AV42"/>
      <c r="AW42"/>
      <c r="AX42"/>
      <c r="AY42"/>
    </row>
    <row r="43" spans="1:51" s="370" customFormat="1" ht="15" x14ac:dyDescent="0.25">
      <c r="A43" s="469"/>
      <c r="AV43"/>
      <c r="AW43"/>
      <c r="AX43"/>
      <c r="AY43"/>
    </row>
    <row r="44" spans="1:51" s="370" customFormat="1" ht="15" x14ac:dyDescent="0.25">
      <c r="A44" s="469"/>
      <c r="O44" s="431"/>
      <c r="AV44"/>
      <c r="AW44"/>
      <c r="AX44"/>
      <c r="AY44"/>
    </row>
    <row r="45" spans="1:51" s="370" customFormat="1" x14ac:dyDescent="0.3">
      <c r="A45" s="469"/>
      <c r="E45" s="384"/>
      <c r="AV45"/>
      <c r="AW45"/>
      <c r="AX45"/>
      <c r="AY45"/>
    </row>
    <row r="46" spans="1:51" s="370" customFormat="1" x14ac:dyDescent="0.3">
      <c r="A46" s="469"/>
      <c r="D46" s="384"/>
      <c r="E46" s="384"/>
      <c r="AV46"/>
      <c r="AW46"/>
      <c r="AX46"/>
      <c r="AY46"/>
    </row>
    <row r="47" spans="1:51" s="370" customFormat="1" x14ac:dyDescent="0.3">
      <c r="A47" s="473"/>
    </row>
    <row r="48" spans="1:51" s="370" customFormat="1" x14ac:dyDescent="0.3">
      <c r="A48" s="469"/>
    </row>
    <row r="49" spans="1:1" s="370" customFormat="1" x14ac:dyDescent="0.3">
      <c r="A49" s="469"/>
    </row>
    <row r="50" spans="1:1" s="370" customFormat="1" x14ac:dyDescent="0.3">
      <c r="A50" s="469"/>
    </row>
    <row r="51" spans="1:1" s="370" customFormat="1" x14ac:dyDescent="0.3">
      <c r="A51" s="469"/>
    </row>
    <row r="52" spans="1:1" s="370" customFormat="1" x14ac:dyDescent="0.3">
      <c r="A52" s="469"/>
    </row>
    <row r="53" spans="1:1" s="370" customFormat="1" x14ac:dyDescent="0.3">
      <c r="A53" s="469"/>
    </row>
    <row r="54" spans="1:1" s="370" customFormat="1" x14ac:dyDescent="0.3">
      <c r="A54" s="469"/>
    </row>
    <row r="55" spans="1:1" s="370" customFormat="1" x14ac:dyDescent="0.3">
      <c r="A55" s="469"/>
    </row>
    <row r="56" spans="1:1" s="370" customFormat="1" x14ac:dyDescent="0.3">
      <c r="A56" s="469"/>
    </row>
    <row r="57" spans="1:1" s="370" customFormat="1" x14ac:dyDescent="0.3">
      <c r="A57" s="469"/>
    </row>
    <row r="58" spans="1:1" s="370" customFormat="1" x14ac:dyDescent="0.3">
      <c r="A58" s="469"/>
    </row>
    <row r="59" spans="1:1" s="370" customFormat="1" x14ac:dyDescent="0.3">
      <c r="A59" s="469"/>
    </row>
    <row r="60" spans="1:1" s="370" customFormat="1" x14ac:dyDescent="0.3">
      <c r="A60" s="469"/>
    </row>
    <row r="61" spans="1:1" s="370" customFormat="1" x14ac:dyDescent="0.3">
      <c r="A61" s="469"/>
    </row>
    <row r="62" spans="1:1" s="370" customFormat="1" x14ac:dyDescent="0.3">
      <c r="A62" s="469"/>
    </row>
    <row r="63" spans="1:1" s="370" customFormat="1" x14ac:dyDescent="0.3">
      <c r="A63" s="469"/>
    </row>
    <row r="64" spans="1:1" s="370" customFormat="1" x14ac:dyDescent="0.3">
      <c r="A64" s="469"/>
    </row>
    <row r="65" spans="1:1" s="370" customFormat="1" x14ac:dyDescent="0.3">
      <c r="A65" s="469"/>
    </row>
    <row r="66" spans="1:1" s="370" customFormat="1" x14ac:dyDescent="0.3">
      <c r="A66" s="469"/>
    </row>
    <row r="67" spans="1:1" s="370" customFormat="1" x14ac:dyDescent="0.3">
      <c r="A67" s="469"/>
    </row>
    <row r="68" spans="1:1" s="370" customFormat="1" x14ac:dyDescent="0.3">
      <c r="A68" s="469"/>
    </row>
    <row r="69" spans="1:1" s="370" customFormat="1" x14ac:dyDescent="0.3">
      <c r="A69" s="469"/>
    </row>
    <row r="70" spans="1:1" s="370" customFormat="1" x14ac:dyDescent="0.3">
      <c r="A70" s="469"/>
    </row>
    <row r="71" spans="1:1" s="370" customFormat="1" x14ac:dyDescent="0.3">
      <c r="A71" s="469"/>
    </row>
    <row r="72" spans="1:1" s="370" customFormat="1" x14ac:dyDescent="0.3">
      <c r="A72" s="469"/>
    </row>
    <row r="73" spans="1:1" s="370" customFormat="1" x14ac:dyDescent="0.3">
      <c r="A73" s="469"/>
    </row>
    <row r="74" spans="1:1" s="370" customFormat="1" x14ac:dyDescent="0.3">
      <c r="A74" s="469"/>
    </row>
    <row r="75" spans="1:1" s="370" customFormat="1" x14ac:dyDescent="0.3">
      <c r="A75" s="469"/>
    </row>
    <row r="76" spans="1:1" s="370" customFormat="1" x14ac:dyDescent="0.3">
      <c r="A76" s="469"/>
    </row>
    <row r="77" spans="1:1" s="370" customFormat="1" x14ac:dyDescent="0.3">
      <c r="A77" s="469"/>
    </row>
    <row r="78" spans="1:1" s="370" customFormat="1" x14ac:dyDescent="0.3">
      <c r="A78" s="469"/>
    </row>
    <row r="79" spans="1:1" s="370" customFormat="1" x14ac:dyDescent="0.3">
      <c r="A79" s="469"/>
    </row>
    <row r="80" spans="1:1" s="370" customFormat="1" x14ac:dyDescent="0.3">
      <c r="A80" s="469"/>
    </row>
    <row r="81" spans="1:1" s="370" customFormat="1" x14ac:dyDescent="0.3">
      <c r="A81" s="469"/>
    </row>
    <row r="82" spans="1:1" s="370" customFormat="1" x14ac:dyDescent="0.3">
      <c r="A82" s="469"/>
    </row>
    <row r="83" spans="1:1" s="370" customFormat="1" x14ac:dyDescent="0.3">
      <c r="A83" s="469"/>
    </row>
    <row r="84" spans="1:1" s="370" customFormat="1" x14ac:dyDescent="0.3">
      <c r="A84" s="469"/>
    </row>
    <row r="85" spans="1:1" s="370" customFormat="1" x14ac:dyDescent="0.3">
      <c r="A85" s="469"/>
    </row>
    <row r="86" spans="1:1" s="370" customFormat="1" x14ac:dyDescent="0.3">
      <c r="A86" s="469"/>
    </row>
    <row r="87" spans="1:1" s="370" customFormat="1" x14ac:dyDescent="0.3">
      <c r="A87" s="469"/>
    </row>
    <row r="88" spans="1:1" s="370" customFormat="1" x14ac:dyDescent="0.3">
      <c r="A88" s="469"/>
    </row>
    <row r="89" spans="1:1" s="370" customFormat="1" x14ac:dyDescent="0.3">
      <c r="A89" s="469"/>
    </row>
    <row r="90" spans="1:1" s="370" customFormat="1" x14ac:dyDescent="0.3">
      <c r="A90" s="469"/>
    </row>
    <row r="91" spans="1:1" s="370" customFormat="1" x14ac:dyDescent="0.3">
      <c r="A91" s="469"/>
    </row>
    <row r="92" spans="1:1" s="370" customFormat="1" x14ac:dyDescent="0.3">
      <c r="A92" s="469"/>
    </row>
    <row r="93" spans="1:1" s="370" customFormat="1" x14ac:dyDescent="0.3">
      <c r="A93" s="469"/>
    </row>
    <row r="94" spans="1:1" s="370" customFormat="1" x14ac:dyDescent="0.3">
      <c r="A94" s="469"/>
    </row>
    <row r="95" spans="1:1" s="370" customFormat="1" x14ac:dyDescent="0.3">
      <c r="A95" s="469"/>
    </row>
    <row r="96" spans="1:1" s="370" customFormat="1" x14ac:dyDescent="0.3">
      <c r="A96" s="469"/>
    </row>
    <row r="97" spans="1:1" s="370" customFormat="1" x14ac:dyDescent="0.3">
      <c r="A97" s="469"/>
    </row>
    <row r="98" spans="1:1" s="370" customFormat="1" x14ac:dyDescent="0.3">
      <c r="A98" s="469"/>
    </row>
    <row r="99" spans="1:1" s="370" customFormat="1" x14ac:dyDescent="0.3">
      <c r="A99" s="469"/>
    </row>
    <row r="100" spans="1:1" s="370" customFormat="1" x14ac:dyDescent="0.3">
      <c r="A100" s="469"/>
    </row>
    <row r="101" spans="1:1" s="370" customFormat="1" x14ac:dyDescent="0.3">
      <c r="A101" s="469"/>
    </row>
    <row r="102" spans="1:1" s="370" customFormat="1" x14ac:dyDescent="0.3">
      <c r="A102" s="469"/>
    </row>
    <row r="103" spans="1:1" s="370" customFormat="1" x14ac:dyDescent="0.3">
      <c r="A103" s="469"/>
    </row>
    <row r="104" spans="1:1" s="370" customFormat="1" x14ac:dyDescent="0.3">
      <c r="A104" s="469"/>
    </row>
    <row r="105" spans="1:1" s="370" customFormat="1" x14ac:dyDescent="0.3">
      <c r="A105" s="469"/>
    </row>
    <row r="106" spans="1:1" s="370" customFormat="1" x14ac:dyDescent="0.3">
      <c r="A106" s="469"/>
    </row>
    <row r="107" spans="1:1" s="370" customFormat="1" x14ac:dyDescent="0.3">
      <c r="A107" s="469"/>
    </row>
    <row r="108" spans="1:1" s="370" customFormat="1" x14ac:dyDescent="0.3">
      <c r="A108" s="469"/>
    </row>
    <row r="109" spans="1:1" s="370" customFormat="1" x14ac:dyDescent="0.3">
      <c r="A109" s="469"/>
    </row>
    <row r="110" spans="1:1" s="370" customFormat="1" x14ac:dyDescent="0.3">
      <c r="A110" s="469"/>
    </row>
    <row r="111" spans="1:1" s="370" customFormat="1" x14ac:dyDescent="0.3">
      <c r="A111" s="469"/>
    </row>
    <row r="112" spans="1:1" s="370" customFormat="1" x14ac:dyDescent="0.3">
      <c r="A112" s="469"/>
    </row>
    <row r="113" spans="1:1" s="370" customFormat="1" x14ac:dyDescent="0.3">
      <c r="A113" s="469"/>
    </row>
    <row r="114" spans="1:1" s="370" customFormat="1" x14ac:dyDescent="0.3">
      <c r="A114" s="469"/>
    </row>
    <row r="115" spans="1:1" s="370" customFormat="1" x14ac:dyDescent="0.3">
      <c r="A115" s="469"/>
    </row>
    <row r="116" spans="1:1" s="370" customFormat="1" x14ac:dyDescent="0.3">
      <c r="A116" s="469"/>
    </row>
    <row r="117" spans="1:1" s="370" customFormat="1" x14ac:dyDescent="0.3">
      <c r="A117" s="469"/>
    </row>
    <row r="118" spans="1:1" s="370" customFormat="1" x14ac:dyDescent="0.3">
      <c r="A118" s="469"/>
    </row>
    <row r="119" spans="1:1" s="370" customFormat="1" x14ac:dyDescent="0.3">
      <c r="A119" s="469"/>
    </row>
    <row r="120" spans="1:1" s="370" customFormat="1" x14ac:dyDescent="0.3">
      <c r="A120" s="469"/>
    </row>
    <row r="121" spans="1:1" s="370" customFormat="1" x14ac:dyDescent="0.3">
      <c r="A121" s="469"/>
    </row>
    <row r="122" spans="1:1" s="370" customFormat="1" x14ac:dyDescent="0.3">
      <c r="A122" s="469"/>
    </row>
    <row r="123" spans="1:1" s="370" customFormat="1" x14ac:dyDescent="0.3">
      <c r="A123" s="469"/>
    </row>
    <row r="124" spans="1:1" s="370" customFormat="1" x14ac:dyDescent="0.3">
      <c r="A124" s="469"/>
    </row>
    <row r="125" spans="1:1" s="370" customFormat="1" x14ac:dyDescent="0.3">
      <c r="A125" s="469"/>
    </row>
    <row r="126" spans="1:1" s="370" customFormat="1" x14ac:dyDescent="0.3">
      <c r="A126" s="469"/>
    </row>
    <row r="127" spans="1:1" s="370" customFormat="1" x14ac:dyDescent="0.3">
      <c r="A127" s="469"/>
    </row>
    <row r="128" spans="1:1" s="370" customFormat="1" x14ac:dyDescent="0.3">
      <c r="A128" s="469"/>
    </row>
    <row r="129" spans="1:1" s="370" customFormat="1" x14ac:dyDescent="0.3">
      <c r="A129" s="469"/>
    </row>
    <row r="130" spans="1:1" s="370" customFormat="1" x14ac:dyDescent="0.3">
      <c r="A130" s="469"/>
    </row>
    <row r="131" spans="1:1" s="370" customFormat="1" x14ac:dyDescent="0.3">
      <c r="A131" s="469"/>
    </row>
    <row r="132" spans="1:1" s="370" customFormat="1" x14ac:dyDescent="0.3">
      <c r="A132" s="469"/>
    </row>
    <row r="133" spans="1:1" s="370" customFormat="1" x14ac:dyDescent="0.3">
      <c r="A133" s="469"/>
    </row>
    <row r="134" spans="1:1" s="370" customFormat="1" x14ac:dyDescent="0.3">
      <c r="A134" s="469"/>
    </row>
    <row r="135" spans="1:1" s="370" customFormat="1" x14ac:dyDescent="0.3">
      <c r="A135" s="469"/>
    </row>
    <row r="136" spans="1:1" s="370" customFormat="1" x14ac:dyDescent="0.3">
      <c r="A136" s="469"/>
    </row>
    <row r="137" spans="1:1" s="370" customFormat="1" x14ac:dyDescent="0.3">
      <c r="A137" s="469"/>
    </row>
    <row r="138" spans="1:1" s="370" customFormat="1" x14ac:dyDescent="0.3">
      <c r="A138" s="469"/>
    </row>
    <row r="139" spans="1:1" s="370" customFormat="1" x14ac:dyDescent="0.3">
      <c r="A139" s="469"/>
    </row>
    <row r="140" spans="1:1" s="370" customFormat="1" x14ac:dyDescent="0.3">
      <c r="A140" s="469"/>
    </row>
    <row r="141" spans="1:1" s="370" customFormat="1" x14ac:dyDescent="0.3">
      <c r="A141" s="469"/>
    </row>
    <row r="142" spans="1:1" s="370" customFormat="1" x14ac:dyDescent="0.3">
      <c r="A142" s="469"/>
    </row>
  </sheetData>
  <mergeCells count="30">
    <mergeCell ref="P7:Q7"/>
    <mergeCell ref="A1:K1"/>
    <mergeCell ref="A5:N5"/>
    <mergeCell ref="A6:N6"/>
    <mergeCell ref="A7:K7"/>
    <mergeCell ref="N7:O7"/>
    <mergeCell ref="L7:M7"/>
    <mergeCell ref="O8:O9"/>
    <mergeCell ref="P8:P9"/>
    <mergeCell ref="Q8:Q9"/>
    <mergeCell ref="R8:R9"/>
    <mergeCell ref="A17:B17"/>
    <mergeCell ref="A8:A9"/>
    <mergeCell ref="B8:B9"/>
    <mergeCell ref="C8:E8"/>
    <mergeCell ref="F8:H8"/>
    <mergeCell ref="K8:K9"/>
    <mergeCell ref="N8:N9"/>
    <mergeCell ref="L8:L9"/>
    <mergeCell ref="M8:M9"/>
    <mergeCell ref="A38:B38"/>
    <mergeCell ref="A18:B18"/>
    <mergeCell ref="A23:E23"/>
    <mergeCell ref="G20:R20"/>
    <mergeCell ref="A24:A25"/>
    <mergeCell ref="B24:B25"/>
    <mergeCell ref="F24:F25"/>
    <mergeCell ref="C24:C25"/>
    <mergeCell ref="D24:D25"/>
    <mergeCell ref="E24:E25"/>
  </mergeCells>
  <pageMargins left="0.7" right="0.7" top="0.75" bottom="0.75" header="0.3" footer="0.3"/>
  <pageSetup scale="7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2060"/>
  </sheetPr>
  <dimension ref="A1:AY148"/>
  <sheetViews>
    <sheetView zoomScale="80" zoomScaleNormal="80" workbookViewId="0">
      <pane xSplit="2" ySplit="9" topLeftCell="I10" activePane="bottomRight" state="frozen"/>
      <selection pane="topRight" activeCell="C1" sqref="C1"/>
      <selection pane="bottomLeft" activeCell="A10" sqref="A10"/>
      <selection pane="bottomRight" activeCell="L18" sqref="L18"/>
    </sheetView>
  </sheetViews>
  <sheetFormatPr baseColWidth="10" defaultRowHeight="14.4" x14ac:dyDescent="0.3"/>
  <cols>
    <col min="1" max="1" width="7.109375" style="31" customWidth="1"/>
    <col min="2" max="2" width="39.44140625" bestFit="1" customWidth="1"/>
    <col min="3" max="3" width="17.5546875" customWidth="1"/>
    <col min="4" max="4" width="21.33203125" customWidth="1"/>
    <col min="5" max="5" width="22.5546875" customWidth="1"/>
    <col min="6" max="6" width="22.5546875" bestFit="1" customWidth="1"/>
    <col min="7" max="7" width="18.109375" customWidth="1"/>
    <col min="8" max="8" width="22.5546875" bestFit="1" customWidth="1"/>
    <col min="9" max="9" width="22.33203125" customWidth="1"/>
    <col min="10" max="10" width="20.33203125" customWidth="1"/>
    <col min="11" max="11" width="23.6640625" customWidth="1"/>
    <col min="12" max="12" width="23.44140625" customWidth="1"/>
    <col min="13" max="13" width="17.5546875" hidden="1" customWidth="1"/>
    <col min="14" max="14" width="22.33203125" customWidth="1"/>
    <col min="15" max="15" width="21.88671875" hidden="1" customWidth="1"/>
    <col min="16" max="16" width="24.88671875" customWidth="1"/>
    <col min="17" max="17" width="20.5546875" hidden="1" customWidth="1"/>
    <col min="18" max="18" width="23.6640625" customWidth="1"/>
    <col min="19" max="20" width="11.44140625" style="370"/>
    <col min="21" max="21" width="23.6640625" style="370" customWidth="1"/>
    <col min="22" max="22" width="18.6640625" style="370" customWidth="1"/>
    <col min="23" max="23" width="14.109375" style="370" bestFit="1" customWidth="1"/>
    <col min="24" max="24" width="15.6640625" style="370" customWidth="1"/>
    <col min="25" max="25" width="11.44140625" style="370"/>
    <col min="26" max="26" width="14.109375" style="370" bestFit="1" customWidth="1"/>
    <col min="27" max="27" width="14.33203125" style="370" customWidth="1"/>
    <col min="28" max="30" width="12.6640625" style="370" bestFit="1" customWidth="1"/>
    <col min="31" max="47" width="11.44140625" style="370"/>
  </cols>
  <sheetData>
    <row r="1" spans="1:51" ht="15" x14ac:dyDescent="0.25">
      <c r="A1" s="1031"/>
      <c r="B1" s="1031"/>
      <c r="C1" s="1031"/>
      <c r="D1" s="1031"/>
      <c r="E1" s="1031"/>
      <c r="F1" s="1031"/>
      <c r="G1" s="1031"/>
      <c r="H1" s="1031"/>
      <c r="I1" s="1031"/>
      <c r="J1" s="1031"/>
      <c r="K1" s="1031"/>
      <c r="L1" s="718"/>
      <c r="M1" s="718"/>
      <c r="N1" s="370"/>
      <c r="O1" s="370"/>
      <c r="P1" s="370"/>
      <c r="Q1" s="370"/>
      <c r="R1" s="370"/>
    </row>
    <row r="2" spans="1:51" ht="15" x14ac:dyDescent="0.25">
      <c r="A2" s="369"/>
      <c r="B2" s="370"/>
      <c r="C2" s="370"/>
      <c r="D2" s="370"/>
      <c r="E2" s="370"/>
      <c r="F2" s="370"/>
      <c r="G2" s="370"/>
      <c r="H2" s="370"/>
      <c r="I2" s="370"/>
      <c r="J2" s="370"/>
      <c r="K2" s="370"/>
      <c r="L2" s="370"/>
      <c r="M2" s="370"/>
      <c r="N2" s="370"/>
      <c r="O2" s="370"/>
      <c r="P2" s="370"/>
      <c r="Q2" s="370"/>
      <c r="R2" s="370"/>
    </row>
    <row r="3" spans="1:51" ht="15" x14ac:dyDescent="0.25">
      <c r="A3" s="369"/>
      <c r="B3" s="370"/>
      <c r="C3" s="370"/>
      <c r="D3" s="370"/>
      <c r="E3" s="370"/>
      <c r="F3" s="370"/>
      <c r="G3" s="370"/>
      <c r="H3" s="370"/>
      <c r="I3" s="370"/>
      <c r="J3" s="370"/>
      <c r="K3" s="370"/>
      <c r="L3" s="370"/>
      <c r="M3" s="370"/>
      <c r="N3" s="370"/>
      <c r="O3" s="370"/>
      <c r="P3" s="370"/>
      <c r="Q3" s="370"/>
      <c r="R3" s="370"/>
    </row>
    <row r="4" spans="1:51" ht="15" x14ac:dyDescent="0.25">
      <c r="A4" s="369"/>
      <c r="B4" s="370"/>
      <c r="C4" s="370"/>
      <c r="D4" s="370"/>
      <c r="E4" s="370"/>
      <c r="F4" s="370"/>
      <c r="G4" s="370"/>
      <c r="H4" s="370"/>
      <c r="I4" s="370"/>
      <c r="J4" s="370"/>
      <c r="K4" s="370"/>
      <c r="L4" s="370"/>
      <c r="M4" s="370"/>
      <c r="N4" s="370"/>
      <c r="O4" s="370"/>
      <c r="P4" s="370"/>
      <c r="Q4" s="370"/>
      <c r="R4" s="370"/>
    </row>
    <row r="5" spans="1:51" ht="21" x14ac:dyDescent="0.35">
      <c r="A5" s="1009" t="s">
        <v>359</v>
      </c>
      <c r="B5" s="1009"/>
      <c r="C5" s="1009"/>
      <c r="D5" s="1009"/>
      <c r="E5" s="1009"/>
      <c r="F5" s="1009"/>
      <c r="G5" s="1009"/>
      <c r="H5" s="1009"/>
      <c r="I5" s="1009"/>
      <c r="J5" s="1009"/>
      <c r="K5" s="1009"/>
      <c r="L5" s="1009"/>
      <c r="M5" s="1009"/>
      <c r="N5" s="1009"/>
      <c r="O5" s="370"/>
      <c r="P5" s="370"/>
      <c r="Q5" s="370"/>
      <c r="R5" s="370"/>
    </row>
    <row r="6" spans="1:51" ht="21.6" thickBot="1" x14ac:dyDescent="0.45">
      <c r="A6" s="1009" t="s">
        <v>358</v>
      </c>
      <c r="B6" s="1009"/>
      <c r="C6" s="1009"/>
      <c r="D6" s="1009"/>
      <c r="E6" s="1009"/>
      <c r="F6" s="1009"/>
      <c r="G6" s="1009"/>
      <c r="H6" s="1009"/>
      <c r="I6" s="1009"/>
      <c r="J6" s="1009"/>
      <c r="K6" s="1009"/>
      <c r="L6" s="1009"/>
      <c r="M6" s="1009"/>
      <c r="N6" s="1009"/>
      <c r="O6" s="370"/>
      <c r="P6" s="370"/>
      <c r="Q6" s="370"/>
      <c r="R6" s="370"/>
    </row>
    <row r="7" spans="1:51" ht="15" customHeight="1" thickBot="1" x14ac:dyDescent="0.3">
      <c r="A7" s="1032"/>
      <c r="B7" s="1032"/>
      <c r="C7" s="1032"/>
      <c r="D7" s="1032"/>
      <c r="E7" s="1032"/>
      <c r="F7" s="1032"/>
      <c r="G7" s="1032"/>
      <c r="H7" s="1032"/>
      <c r="I7" s="1032"/>
      <c r="J7" s="1032"/>
      <c r="K7" s="1032"/>
      <c r="L7" s="1049" t="s">
        <v>657</v>
      </c>
      <c r="M7" s="1050"/>
      <c r="N7" s="1049" t="s">
        <v>429</v>
      </c>
      <c r="O7" s="1050"/>
      <c r="P7" s="1049" t="s">
        <v>784</v>
      </c>
      <c r="Q7" s="1050"/>
      <c r="R7" s="370"/>
    </row>
    <row r="8" spans="1:51" s="335" customFormat="1" ht="18.75" customHeight="1" x14ac:dyDescent="0.3">
      <c r="A8" s="1037" t="s">
        <v>50</v>
      </c>
      <c r="B8" s="1035" t="s">
        <v>352</v>
      </c>
      <c r="C8" s="1041">
        <v>2021</v>
      </c>
      <c r="D8" s="1041"/>
      <c r="E8" s="1042"/>
      <c r="F8" s="1043">
        <v>2022</v>
      </c>
      <c r="G8" s="1041"/>
      <c r="H8" s="1041"/>
      <c r="I8" s="341" t="s">
        <v>346</v>
      </c>
      <c r="J8" s="342" t="s">
        <v>348</v>
      </c>
      <c r="K8" s="1039" t="s">
        <v>434</v>
      </c>
      <c r="L8" s="1028" t="s">
        <v>430</v>
      </c>
      <c r="M8" s="1028" t="s">
        <v>431</v>
      </c>
      <c r="N8" s="1028" t="s">
        <v>430</v>
      </c>
      <c r="O8" s="1028" t="s">
        <v>431</v>
      </c>
      <c r="P8" s="1028" t="s">
        <v>432</v>
      </c>
      <c r="Q8" s="1054" t="s">
        <v>433</v>
      </c>
      <c r="R8" s="1055" t="s">
        <v>435</v>
      </c>
      <c r="S8" s="1039" t="s">
        <v>361</v>
      </c>
      <c r="T8" s="386"/>
      <c r="U8" s="386"/>
      <c r="V8" s="386"/>
      <c r="W8" s="386"/>
      <c r="X8" s="386"/>
      <c r="Y8" s="386"/>
      <c r="Z8" s="386"/>
      <c r="AA8" s="386"/>
      <c r="AB8" s="386"/>
      <c r="AC8" s="386"/>
      <c r="AD8" s="386"/>
      <c r="AE8" s="386"/>
      <c r="AF8" s="386"/>
      <c r="AG8" s="386"/>
      <c r="AH8" s="386"/>
      <c r="AI8" s="386"/>
      <c r="AJ8" s="386"/>
      <c r="AK8" s="386"/>
      <c r="AL8" s="386"/>
      <c r="AM8" s="386"/>
      <c r="AN8" s="386"/>
      <c r="AO8" s="386"/>
      <c r="AP8" s="386"/>
      <c r="AQ8" s="386"/>
      <c r="AR8" s="386"/>
      <c r="AS8" s="386"/>
      <c r="AT8" s="386"/>
      <c r="AU8" s="386"/>
      <c r="AV8" s="386"/>
      <c r="AW8" s="386"/>
      <c r="AX8" s="386"/>
      <c r="AY8" s="386"/>
    </row>
    <row r="9" spans="1:51" s="335" customFormat="1" x14ac:dyDescent="0.3">
      <c r="A9" s="1038"/>
      <c r="B9" s="1036"/>
      <c r="C9" s="343" t="s">
        <v>344</v>
      </c>
      <c r="D9" s="344" t="s">
        <v>345</v>
      </c>
      <c r="E9" s="345" t="s">
        <v>350</v>
      </c>
      <c r="F9" s="346" t="s">
        <v>344</v>
      </c>
      <c r="G9" s="347" t="s">
        <v>345</v>
      </c>
      <c r="H9" s="346" t="s">
        <v>351</v>
      </c>
      <c r="I9" s="346" t="s">
        <v>347</v>
      </c>
      <c r="J9" s="348" t="s">
        <v>347</v>
      </c>
      <c r="K9" s="1040"/>
      <c r="L9" s="1029"/>
      <c r="M9" s="1029"/>
      <c r="N9" s="1029"/>
      <c r="O9" s="1029"/>
      <c r="P9" s="1029"/>
      <c r="Q9" s="1029"/>
      <c r="R9" s="1029"/>
      <c r="S9" s="1040"/>
      <c r="T9" s="386"/>
      <c r="U9" s="386"/>
      <c r="V9" s="386"/>
      <c r="W9" s="386"/>
      <c r="X9" s="386"/>
      <c r="Y9" s="386"/>
      <c r="Z9" s="386"/>
      <c r="AA9" s="386"/>
      <c r="AB9" s="386"/>
      <c r="AC9" s="386"/>
      <c r="AD9" s="386"/>
      <c r="AE9" s="386"/>
      <c r="AF9" s="386"/>
      <c r="AG9" s="386"/>
      <c r="AH9" s="386"/>
      <c r="AI9" s="386"/>
      <c r="AJ9" s="386"/>
      <c r="AK9" s="386"/>
      <c r="AL9" s="386"/>
      <c r="AM9" s="386"/>
      <c r="AN9" s="386"/>
      <c r="AO9" s="386"/>
      <c r="AP9" s="386"/>
      <c r="AQ9" s="386"/>
      <c r="AR9" s="386"/>
      <c r="AS9" s="386"/>
      <c r="AT9" s="386"/>
      <c r="AU9" s="386"/>
      <c r="AV9" s="386"/>
      <c r="AW9" s="386"/>
      <c r="AX9" s="386"/>
      <c r="AY9" s="386"/>
    </row>
    <row r="10" spans="1:51" s="4" customFormat="1" ht="20.100000000000001" customHeight="1" x14ac:dyDescent="0.3">
      <c r="A10" s="323" t="s">
        <v>330</v>
      </c>
      <c r="B10" s="337" t="s">
        <v>337</v>
      </c>
      <c r="C10" s="338">
        <f>+'PREVENCIÓN (Ejecutiva)'!R10+'PREVENCIÓN (Ejecutiva)'!R11+'PREVENCIÓN (Ejecutiva)'!R14+'PREVENCIÓN (Ejecutiva)'!R15+'PREVENCIÓN (Ejecutiva)'!R16+'PREVENCIÓN (Ejecutiva)'!R21+'PREVENCIÓN (Ejecutiva)'!R22+'PREVENCIÓN (Ejecutiva)'!R26+'PREVENCIÓN (Ejecutiva)'!R27+'PREVENCIÓN (Ejecutiva)'!R31+'PREVENCIÓN (Ejecutiva)'!R34+'PREVENCIÓN (Ejecutiva)'!R41+'PREVENCIÓN (Ejecutiva)'!R38</f>
        <v>2373363.5</v>
      </c>
      <c r="D10" s="339">
        <f>+'PREVENCIÓN (Ejecutiva)'!R17+'PREVENCIÓN (Ejecutiva)'!R28+'PREVENCIÓN (Ejecutiva)'!R29+'PREVENCIÓN (Ejecutiva)'!R32+'PREVENCIÓN (Ejecutiva)'!R35+'PREVENCIÓN (Ejecutiva)'!R39+'PREVENCIÓN (Ejecutiva)'!R42</f>
        <v>409700</v>
      </c>
      <c r="E10" s="340">
        <f t="shared" ref="E10:E16" si="0">SUM(C10:D10)</f>
        <v>2783063.5</v>
      </c>
      <c r="F10" s="338">
        <f>+'PREVENCIÓN (Ejecutiva)'!AD10+'PREVENCIÓN (Ejecutiva)'!AD11+'PREVENCIÓN (Ejecutiva)'!AD14+'PREVENCIÓN (Ejecutiva)'!AD15+'PREVENCIÓN (Ejecutiva)'!AD16+'PREVENCIÓN (Ejecutiva)'!AD21+'PREVENCIÓN (Ejecutiva)'!AD22+'PREVENCIÓN (Ejecutiva)'!AD26+'PREVENCIÓN (Ejecutiva)'!AD27+'PREVENCIÓN (Ejecutiva)'!AD31+'PREVENCIÓN (Ejecutiva)'!AD34+'PREVENCIÓN (Ejecutiva)'!AD38+'PREVENCIÓN (Ejecutiva)'!AD41</f>
        <v>2764136.5</v>
      </c>
      <c r="G10" s="339">
        <f>+'PREVENCIÓN (Ejecutiva)'!AD17+'PREVENCIÓN (Ejecutiva)'!AD28+'PREVENCIÓN (Ejecutiva)'!AD29+'PREVENCIÓN (Ejecutiva)'!AD32+'PREVENCIÓN (Ejecutiva)'!AD35+'PREVENCIÓN (Ejecutiva)'!AD39+'PREVENCIÓN (Ejecutiva)'!AD42</f>
        <v>1585220.2999999998</v>
      </c>
      <c r="H10" s="340">
        <f>SUM(F10:G10)</f>
        <v>4349356.8</v>
      </c>
      <c r="I10" s="338">
        <f>+C10+F10</f>
        <v>5137500</v>
      </c>
      <c r="J10" s="371">
        <f>+D10+G10</f>
        <v>1994920.2999999998</v>
      </c>
      <c r="K10" s="439">
        <f>+I10+J10</f>
        <v>7132420.2999999998</v>
      </c>
      <c r="L10" s="433"/>
      <c r="M10" s="727"/>
      <c r="N10" s="433">
        <f>+N17*0.1298</f>
        <v>677766.36945599993</v>
      </c>
      <c r="O10" s="430">
        <f>+N10/$O$18</f>
        <v>71390.000000000029</v>
      </c>
      <c r="P10" s="433">
        <f t="shared" ref="P10:P16" si="1">+K10-L10-N10</f>
        <v>6454653.9305440001</v>
      </c>
      <c r="Q10" s="430">
        <f>+P10/$Q$18</f>
        <v>690337.31877475942</v>
      </c>
      <c r="R10" s="438">
        <f>+M10+O10+Q10</f>
        <v>761727.31877475942</v>
      </c>
      <c r="S10" s="432">
        <f>+K10/$K$17</f>
        <v>0.13227750816338596</v>
      </c>
      <c r="T10" s="140"/>
      <c r="U10" s="802">
        <v>6747200</v>
      </c>
      <c r="V10" s="803">
        <f>+U10-K10</f>
        <v>-385220.29999999981</v>
      </c>
      <c r="W10" s="140"/>
      <c r="X10" s="804"/>
      <c r="Y10" s="805" t="s">
        <v>330</v>
      </c>
      <c r="Z10" s="806">
        <v>385220.3</v>
      </c>
      <c r="AA10" s="140" t="s">
        <v>774</v>
      </c>
      <c r="AB10" s="804">
        <f>385220.3*0.3</f>
        <v>115566.09</v>
      </c>
      <c r="AC10" s="140" t="s">
        <v>777</v>
      </c>
      <c r="AD10" s="804">
        <f>385220.3*0.7</f>
        <v>269654.20999999996</v>
      </c>
      <c r="AE10" s="140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</row>
    <row r="11" spans="1:51" s="4" customFormat="1" ht="20.100000000000001" customHeight="1" x14ac:dyDescent="0.3">
      <c r="A11" s="38" t="s">
        <v>331</v>
      </c>
      <c r="B11" s="178" t="s">
        <v>338</v>
      </c>
      <c r="C11" s="336">
        <f>+'ATENCIÓN (ejecutiva)'!R11+'ATENCIÓN (ejecutiva)'!R12+'ATENCIÓN (ejecutiva)'!R14+'ATENCIÓN (ejecutiva)'!R16+'ATENCIÓN (ejecutiva)'!R18+'ATENCIÓN (ejecutiva)'!R22+'ATENCIÓN (ejecutiva)'!R24+'ATENCIÓN (ejecutiva)'!R26+'ATENCIÓN (ejecutiva)'!R30+'ATENCIÓN (ejecutiva)'!R34+'ATENCIÓN (ejecutiva)'!R35+'ATENCIÓN (ejecutiva)'!R43</f>
        <v>3544058.56</v>
      </c>
      <c r="D11" s="78">
        <f>+'ATENCIÓN (ejecutiva)'!R13+'ATENCIÓN (ejecutiva)'!R15+'ATENCIÓN (ejecutiva)'!R17+'ATENCIÓN (ejecutiva)'!R19+'ATENCIÓN (ejecutiva)'!R23+'ATENCIÓN (ejecutiva)'!R25+'ATENCIÓN (ejecutiva)'!R33+'ATENCIÓN (ejecutiva)'!R32+'ATENCIÓN (ejecutiva)'!R37+'ATENCIÓN (ejecutiva)'!R38+'ATENCIÓN (ejecutiva)'!R39+'ATENCIÓN (ejecutiva)'!R42+'ATENCIÓN (ejecutiva)'!R44</f>
        <v>8949230.2199999988</v>
      </c>
      <c r="E11" s="340">
        <f t="shared" si="0"/>
        <v>12493288.779999999</v>
      </c>
      <c r="F11" s="336">
        <f>+'ATENCIÓN (ejecutiva)'!AD11+'ATENCIÓN (ejecutiva)'!AD12+'ATENCIÓN (ejecutiva)'!AD14+'ATENCIÓN (ejecutiva)'!AD16+'ATENCIÓN (ejecutiva)'!AD18+'ATENCIÓN (ejecutiva)'!AD22+'ATENCIÓN (ejecutiva)'!AD24+'ATENCIÓN (ejecutiva)'!AD26+'ATENCIÓN (ejecutiva)'!AD30+'ATENCIÓN (ejecutiva)'!AD34+'ATENCIÓN (ejecutiva)'!AD35+'ATENCIÓN (ejecutiva)'!AD43</f>
        <v>4105225.52</v>
      </c>
      <c r="G11" s="78">
        <f>+'ATENCIÓN (ejecutiva)'!AD13+'ATENCIÓN (ejecutiva)'!AD15+'ATENCIÓN (ejecutiva)'!AD17+'ATENCIÓN (ejecutiva)'!AD19+'ATENCIÓN (ejecutiva)'!AD23+'ATENCIÓN (ejecutiva)'!AD25+'ATENCIÓN (ejecutiva)'!AD33+'ATENCIÓN (ejecutiva)'!AD32+'ATENCIÓN (ejecutiva)'!AD37+'ATENCIÓN (ejecutiva)'!AD38+'ATENCIÓN (ejecutiva)'!AD39+'ATENCIÓN (ejecutiva)'!AD42+'ATENCIÓN (ejecutiva)'!AD44</f>
        <v>6504744.2300000004</v>
      </c>
      <c r="H11" s="340">
        <f t="shared" ref="H11:H16" si="2">SUM(F11:G11)</f>
        <v>10609969.75</v>
      </c>
      <c r="I11" s="338">
        <f t="shared" ref="I11:I16" si="3">+C11+F11</f>
        <v>7649284.0800000001</v>
      </c>
      <c r="J11" s="371">
        <f t="shared" ref="J11:J16" si="4">+D11+G11</f>
        <v>15453974.449999999</v>
      </c>
      <c r="K11" s="439">
        <f t="shared" ref="K11:K16" si="5">+I11+J11</f>
        <v>23103258.530000001</v>
      </c>
      <c r="L11" s="433">
        <v>1284067.6499999999</v>
      </c>
      <c r="M11" s="727">
        <f>+L11/M18</f>
        <v>144506.99444528174</v>
      </c>
      <c r="N11" s="433">
        <f>+N17*0.4396</f>
        <v>2295424.4685120001</v>
      </c>
      <c r="O11" s="430">
        <f t="shared" ref="O11:O16" si="6">+N11/$O$18</f>
        <v>241780.00000000015</v>
      </c>
      <c r="P11" s="433">
        <f t="shared" si="1"/>
        <v>19523766.411488004</v>
      </c>
      <c r="Q11" s="430">
        <f t="shared" ref="Q11:Q16" si="7">+P11/$Q$18</f>
        <v>2088103.3595174337</v>
      </c>
      <c r="R11" s="438">
        <f t="shared" ref="R11:R16" si="8">+M11+O11+Q11</f>
        <v>2474390.3539627157</v>
      </c>
      <c r="S11" s="432">
        <f t="shared" ref="S11:S16" si="9">+K11/$K$17</f>
        <v>0.42847187073410292</v>
      </c>
      <c r="T11" s="140"/>
      <c r="U11" s="802">
        <v>22846445</v>
      </c>
      <c r="V11" s="803">
        <f t="shared" ref="V11:V16" si="10">+U11-K11</f>
        <v>-256813.53000000119</v>
      </c>
      <c r="W11" s="140"/>
      <c r="X11" s="804">
        <v>1284067.6499999999</v>
      </c>
      <c r="Y11" s="805" t="s">
        <v>331</v>
      </c>
      <c r="Z11" s="806">
        <v>256813.53</v>
      </c>
      <c r="AA11" s="140" t="s">
        <v>778</v>
      </c>
      <c r="AB11" s="807"/>
      <c r="AC11" s="140"/>
      <c r="AD11" s="140"/>
      <c r="AE11" s="140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</row>
    <row r="12" spans="1:51" s="4" customFormat="1" ht="20.100000000000001" customHeight="1" x14ac:dyDescent="0.3">
      <c r="A12" s="38" t="s">
        <v>332</v>
      </c>
      <c r="B12" s="178" t="s">
        <v>339</v>
      </c>
      <c r="C12" s="336">
        <f>+'IMPUNIDAD (Ejecutiva)'!R11+'IMPUNIDAD (Ejecutiva)'!R12+'IMPUNIDAD (Ejecutiva)'!R15+'IMPUNIDAD (Ejecutiva)'!R18+'IMPUNIDAD (Ejecutiva)'!R19+'IMPUNIDAD (Ejecutiva)'!R21+'IMPUNIDAD (Ejecutiva)'!R27+'IMPUNIDAD (Ejecutiva)'!R30+'IMPUNIDAD (Ejecutiva)'!R32+'IMPUNIDAD (Ejecutiva)'!R34+'IMPUNIDAD (Ejecutiva)'!R35</f>
        <v>2567843.85</v>
      </c>
      <c r="D12" s="78">
        <f>+'IMPUNIDAD (Ejecutiva)'!R13+'IMPUNIDAD (Ejecutiva)'!R14+'IMPUNIDAD (Ejecutiva)'!R20+'IMPUNIDAD (Ejecutiva)'!R28+'IMPUNIDAD (Ejecutiva)'!R31+'IMPUNIDAD (Ejecutiva)'!R25</f>
        <v>2399650</v>
      </c>
      <c r="E12" s="340">
        <f t="shared" si="0"/>
        <v>4967493.8499999996</v>
      </c>
      <c r="F12" s="336">
        <f>+'IMPUNIDAD (Ejecutiva)'!AD11+'IMPUNIDAD (Ejecutiva)'!AD12+'IMPUNIDAD (Ejecutiva)'!AD15+'IMPUNIDAD (Ejecutiva)'!AD18+'IMPUNIDAD (Ejecutiva)'!AD19+'IMPUNIDAD (Ejecutiva)'!AD21+'IMPUNIDAD (Ejecutiva)'!AD27+'IMPUNIDAD (Ejecutiva)'!AD30+'IMPUNIDAD (Ejecutiva)'!AD32+'IMPUNIDAD (Ejecutiva)'!AD34+'IMPUNIDAD (Ejecutiva)'!AD35</f>
        <v>3586856.15</v>
      </c>
      <c r="G12" s="78">
        <f>+'IMPUNIDAD (Ejecutiva)'!AD13+'IMPUNIDAD (Ejecutiva)'!AD14+'IMPUNIDAD (Ejecutiva)'!AD20+'IMPUNIDAD (Ejecutiva)'!AD28+'IMPUNIDAD (Ejecutiva)'!AD31</f>
        <v>6220303.8200000003</v>
      </c>
      <c r="H12" s="340">
        <f t="shared" si="2"/>
        <v>9807159.9700000007</v>
      </c>
      <c r="I12" s="338">
        <f t="shared" si="3"/>
        <v>6154700</v>
      </c>
      <c r="J12" s="371">
        <f t="shared" si="4"/>
        <v>8619953.8200000003</v>
      </c>
      <c r="K12" s="439">
        <f t="shared" si="5"/>
        <v>14774653.82</v>
      </c>
      <c r="L12" s="433">
        <v>550000</v>
      </c>
      <c r="M12" s="727">
        <f>+L12/M18</f>
        <v>61896.152391118143</v>
      </c>
      <c r="N12" s="433">
        <f>+N17*0.2613</f>
        <v>1364409.4941359998</v>
      </c>
      <c r="O12" s="430">
        <f>+N12/$O$18</f>
        <v>143715.00000000006</v>
      </c>
      <c r="P12" s="433">
        <f t="shared" si="1"/>
        <v>12860244.325864</v>
      </c>
      <c r="Q12" s="430">
        <f t="shared" si="7"/>
        <v>1375427.2006271658</v>
      </c>
      <c r="R12" s="438">
        <f t="shared" si="8"/>
        <v>1581038.3530182841</v>
      </c>
      <c r="S12" s="432">
        <f t="shared" si="9"/>
        <v>0.27400998666416948</v>
      </c>
      <c r="T12" s="140"/>
      <c r="U12" s="802">
        <v>13582620</v>
      </c>
      <c r="V12" s="803">
        <f t="shared" si="10"/>
        <v>-1192033.8200000003</v>
      </c>
      <c r="W12" s="140"/>
      <c r="X12" s="804"/>
      <c r="Y12" s="805" t="s">
        <v>332</v>
      </c>
      <c r="Z12" s="806">
        <v>642033.81999999995</v>
      </c>
      <c r="AA12" s="808" t="s">
        <v>779</v>
      </c>
      <c r="AB12" s="140"/>
      <c r="AC12" s="140"/>
      <c r="AD12" s="140"/>
      <c r="AE12" s="140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</row>
    <row r="13" spans="1:51" s="4" customFormat="1" ht="20.100000000000001" customHeight="1" x14ac:dyDescent="0.3">
      <c r="A13" s="38" t="s">
        <v>333</v>
      </c>
      <c r="B13" s="178" t="s">
        <v>340</v>
      </c>
      <c r="C13" s="336">
        <f>+'F1,F2,F3,F4 (ejecutivo)'!R11</f>
        <v>1836049.3166666667</v>
      </c>
      <c r="D13" s="78">
        <f>+'F1,F2,F3,F4 (ejecutivo)'!R32</f>
        <v>180000</v>
      </c>
      <c r="E13" s="340">
        <f t="shared" si="0"/>
        <v>2016049.3166666667</v>
      </c>
      <c r="F13" s="336">
        <f>+'F1,F2,F3,F4 (ejecutivo)'!AD11</f>
        <v>2078106.4033333333</v>
      </c>
      <c r="G13" s="78">
        <f>+'F1,F2,F3,F4 (ejecutivo)'!AD32</f>
        <v>0</v>
      </c>
      <c r="H13" s="340">
        <f t="shared" si="2"/>
        <v>2078106.4033333333</v>
      </c>
      <c r="I13" s="338">
        <f>+C13+F13</f>
        <v>3914155.7199999997</v>
      </c>
      <c r="J13" s="371">
        <f t="shared" si="4"/>
        <v>180000</v>
      </c>
      <c r="K13" s="439">
        <f t="shared" si="5"/>
        <v>4094155.7199999997</v>
      </c>
      <c r="L13" s="433"/>
      <c r="M13" s="727"/>
      <c r="N13" s="433">
        <f>+N17*0.0788</f>
        <v>411463.71273599996</v>
      </c>
      <c r="O13" s="430">
        <f t="shared" si="6"/>
        <v>43340.000000000022</v>
      </c>
      <c r="P13" s="433">
        <f t="shared" si="1"/>
        <v>3682692.0072639999</v>
      </c>
      <c r="Q13" s="430">
        <f t="shared" si="7"/>
        <v>393870.80291593581</v>
      </c>
      <c r="R13" s="438">
        <f t="shared" si="8"/>
        <v>437210.80291593581</v>
      </c>
      <c r="S13" s="432">
        <f t="shared" si="9"/>
        <v>7.5930006070235839E-2</v>
      </c>
      <c r="T13" s="140"/>
      <c r="U13" s="802">
        <v>4094155.7233333332</v>
      </c>
      <c r="V13" s="803">
        <f t="shared" si="10"/>
        <v>3.3333334140479565E-3</v>
      </c>
      <c r="W13" s="140"/>
      <c r="X13" s="804"/>
      <c r="Y13" s="140"/>
      <c r="Z13" s="806">
        <f>SUM(Z10:Z12)</f>
        <v>1284067.6499999999</v>
      </c>
      <c r="AA13" s="140"/>
      <c r="AB13" s="140"/>
      <c r="AC13" s="140"/>
      <c r="AD13" s="140"/>
      <c r="AE13" s="140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</row>
    <row r="14" spans="1:51" s="4" customFormat="1" ht="20.100000000000001" customHeight="1" x14ac:dyDescent="0.25">
      <c r="A14" s="38" t="s">
        <v>334</v>
      </c>
      <c r="B14" s="178" t="s">
        <v>341</v>
      </c>
      <c r="C14" s="336">
        <f>+'F1,F2,F3,F4 (ejecutivo)'!R40</f>
        <v>1445851.6</v>
      </c>
      <c r="D14" s="78">
        <v>0</v>
      </c>
      <c r="E14" s="340">
        <f t="shared" si="0"/>
        <v>1445851.6</v>
      </c>
      <c r="F14" s="336">
        <f>+'F1,F2,F3,F4 (ejecutivo)'!AD40</f>
        <v>1475789</v>
      </c>
      <c r="G14" s="78">
        <f>+'F1,F2,F3,F4 (ejecutivo)'!AD32</f>
        <v>0</v>
      </c>
      <c r="H14" s="340">
        <f t="shared" si="2"/>
        <v>1475789</v>
      </c>
      <c r="I14" s="338">
        <f t="shared" si="3"/>
        <v>2921640.6</v>
      </c>
      <c r="J14" s="371">
        <f t="shared" si="4"/>
        <v>0</v>
      </c>
      <c r="K14" s="439">
        <f t="shared" si="5"/>
        <v>2921640.6</v>
      </c>
      <c r="L14" s="433">
        <v>114440.6</v>
      </c>
      <c r="M14" s="727">
        <f>+L14/M18</f>
        <v>12878.968758783629</v>
      </c>
      <c r="N14" s="433">
        <f>+N17*0.054</f>
        <v>281967.51887999999</v>
      </c>
      <c r="O14" s="430">
        <f t="shared" si="6"/>
        <v>29700.000000000015</v>
      </c>
      <c r="P14" s="433">
        <f t="shared" si="1"/>
        <v>2525232.4811200001</v>
      </c>
      <c r="Q14" s="430">
        <f t="shared" si="7"/>
        <v>270078.34022673802</v>
      </c>
      <c r="R14" s="438">
        <f t="shared" si="8"/>
        <v>312657.30898552167</v>
      </c>
      <c r="S14" s="432">
        <f t="shared" si="9"/>
        <v>5.4184599625596921E-2</v>
      </c>
      <c r="T14" s="140"/>
      <c r="U14" s="802">
        <v>2807200</v>
      </c>
      <c r="V14" s="803">
        <f t="shared" si="10"/>
        <v>-114440.60000000009</v>
      </c>
      <c r="W14" s="140"/>
      <c r="X14" s="140"/>
      <c r="Y14" s="140"/>
      <c r="Z14" s="140"/>
      <c r="AA14" s="140"/>
      <c r="AB14" s="140"/>
      <c r="AC14" s="140"/>
      <c r="AD14" s="140"/>
      <c r="AE14" s="140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</row>
    <row r="15" spans="1:51" s="4" customFormat="1" ht="20.100000000000001" customHeight="1" x14ac:dyDescent="0.3">
      <c r="A15" s="38" t="s">
        <v>335</v>
      </c>
      <c r="B15" s="178" t="s">
        <v>342</v>
      </c>
      <c r="C15" s="336">
        <f>+'F1,F2,F3,F4 (ejecutivo)'!R66</f>
        <v>553000</v>
      </c>
      <c r="D15" s="78">
        <v>0</v>
      </c>
      <c r="E15" s="340">
        <f t="shared" si="0"/>
        <v>553000</v>
      </c>
      <c r="F15" s="336">
        <f>+'F1,F2,F3,F4 (ejecutivo)'!AD66</f>
        <v>645000</v>
      </c>
      <c r="G15" s="78">
        <v>0</v>
      </c>
      <c r="H15" s="340">
        <f t="shared" si="2"/>
        <v>645000</v>
      </c>
      <c r="I15" s="338">
        <f>+C15+F15</f>
        <v>1198000</v>
      </c>
      <c r="J15" s="371">
        <f t="shared" si="4"/>
        <v>0</v>
      </c>
      <c r="K15" s="439">
        <f t="shared" si="5"/>
        <v>1198000</v>
      </c>
      <c r="L15" s="433"/>
      <c r="M15" s="727"/>
      <c r="N15" s="433">
        <f>+N17*0.0231</f>
        <v>120619.43863199999</v>
      </c>
      <c r="O15" s="430">
        <f t="shared" si="6"/>
        <v>12705.000000000005</v>
      </c>
      <c r="P15" s="433">
        <f t="shared" si="1"/>
        <v>1077380.561368</v>
      </c>
      <c r="Q15" s="430">
        <f t="shared" si="7"/>
        <v>115227.86752598931</v>
      </c>
      <c r="R15" s="438">
        <f t="shared" si="8"/>
        <v>127932.86752598931</v>
      </c>
      <c r="S15" s="432">
        <f t="shared" si="9"/>
        <v>2.221804774737355E-2</v>
      </c>
      <c r="T15" s="140"/>
      <c r="U15" s="802">
        <v>1198000</v>
      </c>
      <c r="V15" s="803">
        <f t="shared" si="10"/>
        <v>0</v>
      </c>
      <c r="W15" s="140"/>
      <c r="X15" s="140"/>
      <c r="Y15" s="140"/>
      <c r="Z15" s="140"/>
      <c r="AA15" s="140"/>
      <c r="AB15" s="140"/>
      <c r="AC15" s="140"/>
      <c r="AD15" s="140"/>
      <c r="AE15" s="140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</row>
    <row r="16" spans="1:51" s="4" customFormat="1" ht="20.100000000000001" customHeight="1" x14ac:dyDescent="0.3">
      <c r="A16" s="322" t="s">
        <v>336</v>
      </c>
      <c r="B16" s="349" t="s">
        <v>343</v>
      </c>
      <c r="C16" s="350">
        <f>+'F1,F2,F3,F4 (ejecutivo)'!R77</f>
        <v>358000</v>
      </c>
      <c r="D16" s="351">
        <v>0</v>
      </c>
      <c r="E16" s="340">
        <f t="shared" si="0"/>
        <v>358000</v>
      </c>
      <c r="F16" s="350">
        <f>+'F1,F2,F3,F4 (ejecutivo)'!AD77</f>
        <v>338000</v>
      </c>
      <c r="G16" s="351">
        <v>0</v>
      </c>
      <c r="H16" s="340">
        <f t="shared" si="2"/>
        <v>338000</v>
      </c>
      <c r="I16" s="338">
        <f t="shared" si="3"/>
        <v>696000</v>
      </c>
      <c r="J16" s="371">
        <f t="shared" si="4"/>
        <v>0</v>
      </c>
      <c r="K16" s="439">
        <f t="shared" si="5"/>
        <v>696000</v>
      </c>
      <c r="L16" s="433"/>
      <c r="M16" s="727"/>
      <c r="N16" s="433">
        <f>+N17*0.0134</f>
        <v>69969.717648000005</v>
      </c>
      <c r="O16" s="430">
        <f t="shared" si="6"/>
        <v>7370.0000000000045</v>
      </c>
      <c r="P16" s="433">
        <f t="shared" si="1"/>
        <v>626030.28235200001</v>
      </c>
      <c r="Q16" s="430">
        <f t="shared" si="7"/>
        <v>66955.110411978618</v>
      </c>
      <c r="R16" s="438">
        <f t="shared" si="8"/>
        <v>74325.110411978618</v>
      </c>
      <c r="S16" s="432">
        <f t="shared" si="9"/>
        <v>1.2907980995135218E-2</v>
      </c>
      <c r="T16" s="140"/>
      <c r="U16" s="802">
        <v>696000</v>
      </c>
      <c r="V16" s="803">
        <f t="shared" si="10"/>
        <v>0</v>
      </c>
      <c r="W16" s="140"/>
      <c r="X16" s="140"/>
      <c r="Y16" s="140"/>
      <c r="Z16" s="140"/>
      <c r="AA16" s="140"/>
      <c r="AB16" s="140"/>
      <c r="AC16" s="140"/>
      <c r="AD16" s="140"/>
      <c r="AE16" s="140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</row>
    <row r="17" spans="1:51" s="4" customFormat="1" ht="27.75" customHeight="1" x14ac:dyDescent="0.25">
      <c r="A17" s="1005" t="s">
        <v>349</v>
      </c>
      <c r="B17" s="1006"/>
      <c r="C17" s="365">
        <f t="shared" ref="C17:G17" si="11">SUM(C10:C16)</f>
        <v>12678166.826666666</v>
      </c>
      <c r="D17" s="365">
        <f t="shared" si="11"/>
        <v>11938580.219999999</v>
      </c>
      <c r="E17" s="366">
        <f t="shared" si="11"/>
        <v>24616747.046666667</v>
      </c>
      <c r="F17" s="365">
        <f t="shared" si="11"/>
        <v>14993113.573333334</v>
      </c>
      <c r="G17" s="365">
        <f t="shared" si="11"/>
        <v>14310268.350000001</v>
      </c>
      <c r="H17" s="366">
        <f t="shared" ref="H17:M17" si="12">SUM(H10:H16)</f>
        <v>29303381.923333336</v>
      </c>
      <c r="I17" s="367">
        <f t="shared" si="12"/>
        <v>27671280.399999999</v>
      </c>
      <c r="J17" s="368">
        <f t="shared" si="12"/>
        <v>26248848.57</v>
      </c>
      <c r="K17" s="433">
        <f t="shared" si="12"/>
        <v>53920128.970000006</v>
      </c>
      <c r="L17" s="433">
        <f t="shared" si="12"/>
        <v>1948508.25</v>
      </c>
      <c r="M17" s="728">
        <f t="shared" si="12"/>
        <v>219282.11559518351</v>
      </c>
      <c r="N17" s="433">
        <v>5221620.72</v>
      </c>
      <c r="O17" s="430">
        <f>SUM(O10:O16)</f>
        <v>550000.00000000023</v>
      </c>
      <c r="P17" s="433">
        <f>SUM(P10:P16)</f>
        <v>46750000.000000007</v>
      </c>
      <c r="Q17" s="430">
        <f>SUM(Q10:Q16)</f>
        <v>5000000</v>
      </c>
      <c r="R17" s="760">
        <f>SUM(R10:R16)</f>
        <v>5769282.1155951843</v>
      </c>
      <c r="S17" s="373">
        <f>SUM(S10:S16)</f>
        <v>0.99999999999999989</v>
      </c>
      <c r="T17" s="140"/>
      <c r="U17" s="802">
        <v>51971620.723333336</v>
      </c>
      <c r="V17" s="809">
        <f>SUM(V10:V16)</f>
        <v>-1948508.246666668</v>
      </c>
      <c r="W17" s="140"/>
      <c r="X17" s="192"/>
      <c r="Y17" s="140"/>
      <c r="Z17" s="140"/>
      <c r="AA17" s="192"/>
      <c r="AB17" s="140"/>
      <c r="AC17" s="140"/>
      <c r="AD17" s="140"/>
      <c r="AE17" s="140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</row>
    <row r="18" spans="1:51" s="437" customFormat="1" ht="18.75" customHeight="1" x14ac:dyDescent="0.25">
      <c r="A18" s="1034" t="s">
        <v>360</v>
      </c>
      <c r="B18" s="1034"/>
      <c r="C18" s="434">
        <f>+C17/K17</f>
        <v>0.23512864432725158</v>
      </c>
      <c r="D18" s="434">
        <f>+D17/K17</f>
        <v>0.22141230831703623</v>
      </c>
      <c r="E18" s="435">
        <f>+E17/K17</f>
        <v>0.45654095264428785</v>
      </c>
      <c r="F18" s="434">
        <f>+F17/K17</f>
        <v>0.2780615302621991</v>
      </c>
      <c r="G18" s="434">
        <f>+G17/K17</f>
        <v>0.265397517093513</v>
      </c>
      <c r="H18" s="435">
        <f>+H17/K17</f>
        <v>0.54345904735571204</v>
      </c>
      <c r="I18" s="434">
        <f>+I17/K17</f>
        <v>0.5131901745894506</v>
      </c>
      <c r="J18" s="434">
        <f>+J17/K17</f>
        <v>0.48680982541054924</v>
      </c>
      <c r="K18" s="435">
        <f>+E18+H18</f>
        <v>0.99999999999999989</v>
      </c>
      <c r="L18" s="507" t="s">
        <v>584</v>
      </c>
      <c r="M18" s="726">
        <v>8.8858511999999994</v>
      </c>
      <c r="N18" s="507" t="s">
        <v>584</v>
      </c>
      <c r="O18" s="508">
        <v>9.4938558545454494</v>
      </c>
      <c r="P18" s="507" t="s">
        <v>583</v>
      </c>
      <c r="Q18" s="509">
        <v>9.35</v>
      </c>
      <c r="R18" s="528"/>
      <c r="S18" s="434"/>
      <c r="T18" s="810"/>
      <c r="U18" s="810"/>
      <c r="V18" s="780">
        <v>1948508.25</v>
      </c>
      <c r="W18" s="810"/>
      <c r="X18" s="810"/>
      <c r="Y18" s="810"/>
      <c r="Z18" s="810"/>
      <c r="AA18" s="810"/>
      <c r="AB18" s="810"/>
      <c r="AC18" s="810"/>
      <c r="AD18" s="810"/>
      <c r="AE18" s="810"/>
      <c r="AF18" s="436"/>
      <c r="AG18" s="436"/>
      <c r="AH18" s="436"/>
      <c r="AI18" s="436"/>
      <c r="AJ18" s="436"/>
      <c r="AK18" s="436"/>
      <c r="AL18" s="436"/>
      <c r="AM18" s="436"/>
      <c r="AN18" s="436"/>
      <c r="AO18" s="436"/>
      <c r="AP18" s="436"/>
      <c r="AQ18" s="436"/>
      <c r="AR18" s="436"/>
      <c r="AS18" s="436"/>
      <c r="AT18" s="436"/>
      <c r="AU18" s="436"/>
      <c r="AV18" s="436"/>
      <c r="AW18" s="436"/>
      <c r="AX18" s="436"/>
      <c r="AY18" s="436"/>
    </row>
    <row r="19" spans="1:51" s="476" customFormat="1" ht="25.5" customHeight="1" x14ac:dyDescent="0.25">
      <c r="A19" s="1047" t="s">
        <v>577</v>
      </c>
      <c r="B19" s="1048"/>
      <c r="C19" s="475">
        <f>+C17/'FICHA GENERAL'!$N$34</f>
        <v>1356523.4825813537</v>
      </c>
      <c r="D19" s="475">
        <f>+D17/'FICHA GENERAL'!$N$34</f>
        <v>1277390.0705461241</v>
      </c>
      <c r="E19" s="475">
        <f>+E17/'FICHA GENERAL'!$N$34</f>
        <v>2633913.5531274779</v>
      </c>
      <c r="F19" s="475">
        <f>+F17/'FICHA GENERAL'!$N$34</f>
        <v>1604215.4135767343</v>
      </c>
      <c r="G19" s="475">
        <f>+G17/'FICHA GENERAL'!$N$34</f>
        <v>1531153.1488909717</v>
      </c>
      <c r="H19" s="475">
        <f>+H17/'FICHA GENERAL'!$N$34</f>
        <v>3135368.5624677059</v>
      </c>
      <c r="I19" s="475">
        <f>+I17/'FICHA GENERAL'!$N$34</f>
        <v>2960738.896158088</v>
      </c>
      <c r="J19" s="475">
        <f>+J17/'FICHA GENERAL'!$N$34</f>
        <v>2808543.2194370958</v>
      </c>
      <c r="K19" s="475">
        <f>+K17/'FICHA GENERAL'!$N$34</f>
        <v>5769282.1155951843</v>
      </c>
      <c r="L19" s="475">
        <f>+L17/M18</f>
        <v>219282.11559518351</v>
      </c>
      <c r="M19" s="475"/>
      <c r="N19" s="475">
        <f>+N17/O18</f>
        <v>550000.00000000023</v>
      </c>
      <c r="O19" s="475"/>
      <c r="P19" s="475">
        <f>+P17/Q18</f>
        <v>5000000.0000000009</v>
      </c>
      <c r="Q19" s="475"/>
      <c r="R19" s="510"/>
      <c r="S19" s="717"/>
    </row>
    <row r="20" spans="1:51" s="537" customFormat="1" ht="15" x14ac:dyDescent="0.25">
      <c r="A20" s="653" t="s">
        <v>349</v>
      </c>
      <c r="B20" s="654"/>
      <c r="C20" s="654">
        <v>14222694.58</v>
      </c>
      <c r="D20" s="654">
        <v>15479640</v>
      </c>
      <c r="E20" s="654">
        <v>29702334.579999998</v>
      </c>
      <c r="F20" s="654">
        <v>13322264.403333332</v>
      </c>
      <c r="G20" s="654">
        <v>8947021.7400000002</v>
      </c>
      <c r="H20" s="654">
        <v>22269286.143333334</v>
      </c>
      <c r="I20" s="654">
        <v>27544958.983333331</v>
      </c>
      <c r="J20" s="654">
        <v>24426661.740000002</v>
      </c>
      <c r="K20" s="654">
        <v>51971620.723333336</v>
      </c>
      <c r="L20" s="654"/>
      <c r="M20" s="654"/>
      <c r="N20" s="654">
        <v>5221620.72</v>
      </c>
      <c r="O20" s="655">
        <v>550000.00000000023</v>
      </c>
      <c r="P20" s="654">
        <v>46750000.003333338</v>
      </c>
      <c r="Q20" s="654">
        <v>5000000.0003565056</v>
      </c>
      <c r="S20" s="654"/>
      <c r="T20" s="656"/>
    </row>
    <row r="21" spans="1:51" s="536" customFormat="1" ht="15" x14ac:dyDescent="0.25">
      <c r="A21" s="657"/>
      <c r="B21" s="527"/>
      <c r="C21" s="656">
        <f t="shared" ref="C21:K21" si="13">+C20-C17</f>
        <v>1544527.7533333339</v>
      </c>
      <c r="D21" s="656">
        <f t="shared" si="13"/>
        <v>3541059.7800000012</v>
      </c>
      <c r="E21" s="656">
        <f t="shared" si="13"/>
        <v>5085587.5333333313</v>
      </c>
      <c r="F21" s="656">
        <f t="shared" si="13"/>
        <v>-1670849.1700000018</v>
      </c>
      <c r="G21" s="656">
        <f t="shared" si="13"/>
        <v>-5363246.6100000013</v>
      </c>
      <c r="H21" s="656">
        <f t="shared" si="13"/>
        <v>-7034095.7800000012</v>
      </c>
      <c r="I21" s="656">
        <f t="shared" si="13"/>
        <v>-126321.41666666791</v>
      </c>
      <c r="J21" s="656">
        <f t="shared" si="13"/>
        <v>-1822186.8299999982</v>
      </c>
      <c r="K21" s="656">
        <f t="shared" si="13"/>
        <v>-1948508.2466666698</v>
      </c>
      <c r="L21" s="656"/>
      <c r="M21" s="656"/>
      <c r="N21" s="656">
        <f>+N20-N17</f>
        <v>0</v>
      </c>
      <c r="O21" s="656">
        <f>+O20-O17</f>
        <v>0</v>
      </c>
      <c r="P21" s="656">
        <f>+P20-P17</f>
        <v>3.3333301544189453E-3</v>
      </c>
      <c r="Q21" s="656"/>
      <c r="R21" s="729"/>
      <c r="S21" s="527"/>
      <c r="T21" s="527"/>
      <c r="V21" s="537"/>
      <c r="W21" s="537"/>
      <c r="X21" s="537"/>
    </row>
    <row r="22" spans="1:51" s="370" customFormat="1" ht="15" x14ac:dyDescent="0.25">
      <c r="A22" s="375"/>
      <c r="H22" s="537"/>
      <c r="I22" s="537"/>
      <c r="J22" s="537"/>
      <c r="K22" s="537"/>
      <c r="L22" s="537"/>
      <c r="M22" s="537"/>
      <c r="N22" s="537"/>
      <c r="O22" s="537"/>
      <c r="P22" s="537"/>
      <c r="Q22" s="537"/>
      <c r="R22" s="537"/>
      <c r="S22" s="536"/>
      <c r="V22" s="537"/>
      <c r="W22" s="537"/>
      <c r="X22" s="537"/>
    </row>
    <row r="23" spans="1:51" s="370" customFormat="1" ht="18" x14ac:dyDescent="0.35">
      <c r="A23" s="1046" t="s">
        <v>377</v>
      </c>
      <c r="B23" s="1046"/>
      <c r="C23" s="1046"/>
      <c r="D23" s="1046"/>
      <c r="E23" s="1046"/>
      <c r="I23" s="385"/>
      <c r="J23" s="385"/>
    </row>
    <row r="24" spans="1:51" ht="21" x14ac:dyDescent="0.4">
      <c r="A24" s="1037" t="s">
        <v>50</v>
      </c>
      <c r="B24" s="1035" t="s">
        <v>362</v>
      </c>
      <c r="C24" s="1044" t="s">
        <v>363</v>
      </c>
      <c r="D24" s="1045"/>
      <c r="E24" s="374"/>
      <c r="G24" s="370"/>
      <c r="I24" s="1051" t="s">
        <v>376</v>
      </c>
      <c r="J24" s="1051"/>
      <c r="K24" s="1051"/>
      <c r="L24" s="1051"/>
      <c r="M24" s="1051"/>
      <c r="N24" s="1051"/>
      <c r="O24" s="1051"/>
      <c r="P24" s="1051"/>
      <c r="Q24" s="1051"/>
      <c r="R24" s="1051"/>
      <c r="S24" s="1051"/>
      <c r="T24" s="1051"/>
      <c r="U24" s="1051"/>
    </row>
    <row r="25" spans="1:51" x14ac:dyDescent="0.3">
      <c r="A25" s="1038"/>
      <c r="B25" s="1036"/>
      <c r="C25" s="343">
        <v>2021</v>
      </c>
      <c r="D25" s="344">
        <v>2022</v>
      </c>
      <c r="E25" s="345" t="s">
        <v>350</v>
      </c>
      <c r="F25" s="370"/>
      <c r="G25" s="370"/>
      <c r="H25" s="370"/>
      <c r="I25" s="370"/>
      <c r="J25" s="370"/>
      <c r="K25" s="370"/>
      <c r="L25" s="370"/>
      <c r="M25" s="370"/>
      <c r="N25" s="370"/>
      <c r="O25" s="370"/>
      <c r="P25" s="370"/>
      <c r="Q25" s="370"/>
      <c r="R25" s="370"/>
    </row>
    <row r="26" spans="1:51" ht="15" x14ac:dyDescent="0.25">
      <c r="A26" s="358">
        <v>1</v>
      </c>
      <c r="B26" s="337" t="s">
        <v>364</v>
      </c>
      <c r="C26" s="338">
        <v>0</v>
      </c>
      <c r="D26" s="339">
        <f>+'F1,F2,F3,F4 (ejecutivo)'!S7+'PREVENCIÓN (Ejecutiva)'!S6+'ATENCIÓN (ejecutiva)'!S7+'IMPUNIDAD (Ejecutiva)'!S7</f>
        <v>861397.12</v>
      </c>
      <c r="E26" s="340">
        <f t="shared" ref="E26:E37" si="14">SUM(C26:D26)</f>
        <v>861397.12</v>
      </c>
      <c r="F26" s="370"/>
      <c r="G26" s="370"/>
      <c r="H26" s="370"/>
      <c r="I26" s="370"/>
      <c r="J26" s="370"/>
      <c r="K26" s="370"/>
      <c r="L26" s="370"/>
      <c r="M26" s="370"/>
      <c r="N26" s="370"/>
      <c r="O26" s="370"/>
      <c r="P26" s="370"/>
      <c r="Q26" s="370"/>
      <c r="R26" s="370"/>
    </row>
    <row r="27" spans="1:51" ht="15" x14ac:dyDescent="0.25">
      <c r="A27" s="38">
        <v>2</v>
      </c>
      <c r="B27" s="178" t="s">
        <v>365</v>
      </c>
      <c r="C27" s="336">
        <f>+'F1,F2,F3,F4 (ejecutivo)'!G7+'PREVENCIÓN (Ejecutiva)'!G6+'ATENCIÓN (ejecutiva)'!G7+'IMPUNIDAD (Ejecutiva)'!G7</f>
        <v>685110.17999999993</v>
      </c>
      <c r="D27" s="78">
        <f>+'F1,F2,F3,F4 (ejecutivo)'!T7+'PREVENCIÓN (Ejecutiva)'!T6+'ATENCIÓN (ejecutiva)'!T7+'IMPUNIDAD (Ejecutiva)'!T7</f>
        <v>4410345.209999999</v>
      </c>
      <c r="E27" s="340">
        <f t="shared" si="14"/>
        <v>5095455.3899999987</v>
      </c>
      <c r="F27" s="370"/>
      <c r="G27" s="370"/>
      <c r="H27" s="370"/>
      <c r="I27" s="370"/>
      <c r="J27" s="370"/>
      <c r="K27" s="370"/>
      <c r="L27" s="370"/>
      <c r="M27" s="370"/>
      <c r="N27" s="370"/>
      <c r="O27" s="370"/>
      <c r="P27" s="370"/>
      <c r="Q27" s="370"/>
      <c r="R27" s="370"/>
    </row>
    <row r="28" spans="1:51" ht="15" x14ac:dyDescent="0.25">
      <c r="A28" s="38">
        <v>3</v>
      </c>
      <c r="B28" s="178" t="s">
        <v>366</v>
      </c>
      <c r="C28" s="336">
        <f>+'F1,F2,F3,F4 (ejecutivo)'!H7+'PREVENCIÓN (Ejecutiva)'!H6+'ATENCIÓN (ejecutiva)'!H7+'IMPUNIDAD (Ejecutiva)'!H7</f>
        <v>1348035.01</v>
      </c>
      <c r="D28" s="78">
        <f>+'F1,F2,F3,F4 (ejecutivo)'!U7+'PREVENCIÓN (Ejecutiva)'!U6+'ATENCIÓN (ejecutiva)'!U7+'IMPUNIDAD (Ejecutiva)'!U7</f>
        <v>6070283.6200000001</v>
      </c>
      <c r="E28" s="340">
        <f t="shared" si="14"/>
        <v>7418318.6299999999</v>
      </c>
      <c r="F28" s="370"/>
      <c r="G28" s="370"/>
      <c r="H28" s="370"/>
      <c r="I28" s="370"/>
      <c r="J28" s="370"/>
      <c r="K28" s="370"/>
      <c r="L28" s="370"/>
      <c r="M28" s="370"/>
      <c r="N28" s="370"/>
      <c r="O28" s="370"/>
      <c r="P28" s="370"/>
      <c r="Q28" s="370"/>
      <c r="R28" s="370"/>
    </row>
    <row r="29" spans="1:51" ht="15" x14ac:dyDescent="0.25">
      <c r="A29" s="38">
        <v>4</v>
      </c>
      <c r="B29" s="178" t="s">
        <v>367</v>
      </c>
      <c r="C29" s="336">
        <f>+'F1,F2,F3,F4 (ejecutivo)'!I7+'PREVENCIÓN (Ejecutiva)'!I6+'ATENCIÓN (ejecutiva)'!I7+'IMPUNIDAD (Ejecutiva)'!I7</f>
        <v>650398.76</v>
      </c>
      <c r="D29" s="78">
        <f>+'F1,F2,F3,F4 (ejecutivo)'!V7+'PREVENCIÓN (Ejecutiva)'!V6+'ATENCIÓN (ejecutiva)'!V7+'IMPUNIDAD (Ejecutiva)'!V7</f>
        <v>6061975.1200000001</v>
      </c>
      <c r="E29" s="340">
        <f t="shared" si="14"/>
        <v>6712373.8799999999</v>
      </c>
      <c r="F29" s="370"/>
      <c r="G29" s="370"/>
      <c r="H29" s="370"/>
      <c r="I29" s="370"/>
      <c r="J29" s="370"/>
      <c r="K29" s="370"/>
      <c r="L29" s="370"/>
      <c r="M29" s="370"/>
      <c r="N29" s="370"/>
      <c r="O29" s="370"/>
      <c r="P29" s="370"/>
      <c r="Q29" s="370"/>
      <c r="R29" s="370"/>
    </row>
    <row r="30" spans="1:51" ht="15" x14ac:dyDescent="0.25">
      <c r="A30" s="38">
        <v>5</v>
      </c>
      <c r="B30" s="178" t="s">
        <v>368</v>
      </c>
      <c r="C30" s="336">
        <f>+'F1,F2,F3,F4 (ejecutivo)'!J7+'PREVENCIÓN (Ejecutiva)'!J6+'ATENCIÓN (ejecutiva)'!J7+'IMPUNIDAD (Ejecutiva)'!J7</f>
        <v>2470016.5700000003</v>
      </c>
      <c r="D30" s="78">
        <f>+'F1,F2,F3,F4 (ejecutivo)'!W7+'PREVENCIÓN (Ejecutiva)'!W6+'ATENCIÓN (ejecutiva)'!W7+'IMPUNIDAD (Ejecutiva)'!W7</f>
        <v>2336447.12</v>
      </c>
      <c r="E30" s="340">
        <f t="shared" si="14"/>
        <v>4806463.6900000004</v>
      </c>
      <c r="F30" s="370"/>
      <c r="G30" s="370"/>
      <c r="H30" s="370"/>
      <c r="I30" s="370"/>
      <c r="J30" s="370"/>
      <c r="K30" s="370"/>
      <c r="L30" s="370"/>
      <c r="M30" s="370"/>
      <c r="N30" s="370"/>
      <c r="O30" s="370"/>
      <c r="P30" s="370"/>
      <c r="Q30" s="370"/>
      <c r="R30" s="370"/>
    </row>
    <row r="31" spans="1:51" ht="15" x14ac:dyDescent="0.25">
      <c r="A31" s="38">
        <v>6</v>
      </c>
      <c r="B31" s="178" t="s">
        <v>369</v>
      </c>
      <c r="C31" s="336">
        <f>+'F1,F2,F3,F4 (ejecutivo)'!K7+'PREVENCIÓN (Ejecutiva)'!K6+'ATENCIÓN (ejecutiva)'!K7+'IMPUNIDAD (Ejecutiva)'!K7</f>
        <v>1153815.03</v>
      </c>
      <c r="D31" s="78">
        <f>+'F1,F2,F3,F4 (ejecutivo)'!X7+'PREVENCIÓN (Ejecutiva)'!X6+'ATENCIÓN (ejecutiva)'!X7+'IMPUNIDAD (Ejecutiva)'!X7</f>
        <v>2988059.62</v>
      </c>
      <c r="E31" s="340">
        <f t="shared" si="14"/>
        <v>4141874.6500000004</v>
      </c>
      <c r="F31" s="370"/>
      <c r="G31" s="370"/>
      <c r="H31" s="370"/>
      <c r="I31" s="370"/>
      <c r="J31" s="370"/>
      <c r="K31" s="370"/>
      <c r="L31" s="370"/>
      <c r="M31" s="370"/>
      <c r="N31" s="370"/>
      <c r="O31" s="370"/>
      <c r="P31" s="370"/>
      <c r="Q31" s="370"/>
      <c r="R31" s="370"/>
    </row>
    <row r="32" spans="1:51" ht="15" x14ac:dyDescent="0.25">
      <c r="A32" s="357">
        <v>7</v>
      </c>
      <c r="B32" s="178" t="s">
        <v>370</v>
      </c>
      <c r="C32" s="350">
        <f>+'F1,F2,F3,F4 (ejecutivo)'!L7+'PREVENCIÓN (Ejecutiva)'!L6+'ATENCIÓN (ejecutiva)'!L7+'IMPUNIDAD (Ejecutiva)'!L7</f>
        <v>890517.95333333337</v>
      </c>
      <c r="D32" s="351">
        <f>+'F1,F2,F3,F4 (ejecutivo)'!Y7+'PREVENCIÓN (Ejecutiva)'!Y6+'ATENCIÓN (ejecutiva)'!Y7+'IMPUNIDAD (Ejecutiva)'!Y7</f>
        <v>1429058.22</v>
      </c>
      <c r="E32" s="340">
        <f t="shared" si="14"/>
        <v>2319576.1733333333</v>
      </c>
      <c r="F32" s="370"/>
      <c r="G32" s="370"/>
      <c r="H32" s="370"/>
      <c r="I32" s="370"/>
      <c r="J32" s="370"/>
      <c r="K32" s="370"/>
      <c r="L32" s="370"/>
      <c r="M32" s="370"/>
      <c r="N32" s="370"/>
      <c r="O32" s="370"/>
      <c r="P32" s="370"/>
      <c r="Q32" s="370"/>
      <c r="R32" s="370"/>
    </row>
    <row r="33" spans="1:18" ht="15" x14ac:dyDescent="0.25">
      <c r="A33" s="357">
        <v>8</v>
      </c>
      <c r="B33" s="178" t="s">
        <v>371</v>
      </c>
      <c r="C33" s="350">
        <f>+'F1,F2,F3,F4 (ejecutivo)'!M7+'PREVENCIÓN (Ejecutiva)'!M6+'ATENCIÓN (ejecutiva)'!M7+'IMPUNIDAD (Ejecutiva)'!M7</f>
        <v>2320546.2200000002</v>
      </c>
      <c r="D33" s="351">
        <f>+'F1,F2,F3,F4 (ejecutivo)'!Z7+'PREVENCIÓN (Ejecutiva)'!Z6+'ATENCIÓN (ejecutiva)'!Z7+'IMPUNIDAD (Ejecutiva)'!Z7</f>
        <v>1400906.77</v>
      </c>
      <c r="E33" s="340">
        <f t="shared" si="14"/>
        <v>3721452.99</v>
      </c>
      <c r="F33" s="370"/>
      <c r="G33" s="370"/>
      <c r="H33" s="370"/>
      <c r="I33" s="370"/>
      <c r="J33" s="370"/>
      <c r="K33" s="370"/>
      <c r="L33" s="370"/>
      <c r="M33" s="370"/>
      <c r="N33" s="370"/>
      <c r="O33" s="370"/>
      <c r="P33" s="370"/>
      <c r="Q33" s="370"/>
      <c r="R33" s="370"/>
    </row>
    <row r="34" spans="1:18" ht="15" x14ac:dyDescent="0.25">
      <c r="A34" s="357">
        <v>9</v>
      </c>
      <c r="B34" s="178" t="s">
        <v>372</v>
      </c>
      <c r="C34" s="350">
        <f>+'F1,F2,F3,F4 (ejecutivo)'!N7+'PREVENCIÓN (Ejecutiva)'!N6+'ATENCIÓN (ejecutiva)'!N7+'IMPUNIDAD (Ejecutiva)'!N7</f>
        <v>4407313.63</v>
      </c>
      <c r="D34" s="351">
        <f>+'F1,F2,F3,F4 (ejecutivo)'!AA7+'PREVENCIÓN (Ejecutiva)'!AA6+'ATENCIÓN (ejecutiva)'!AA7+'IMPUNIDAD (Ejecutiva)'!AA7</f>
        <v>1319862.8</v>
      </c>
      <c r="E34" s="340">
        <f t="shared" si="14"/>
        <v>5727176.4299999997</v>
      </c>
      <c r="F34" s="370"/>
      <c r="G34" s="370"/>
      <c r="H34" s="370"/>
      <c r="I34" s="370"/>
      <c r="J34" s="370"/>
      <c r="K34" s="370"/>
      <c r="L34" s="370"/>
      <c r="M34" s="370"/>
      <c r="N34" s="370"/>
      <c r="O34" s="370"/>
      <c r="P34" s="370"/>
      <c r="Q34" s="370"/>
      <c r="R34" s="370"/>
    </row>
    <row r="35" spans="1:18" ht="15" x14ac:dyDescent="0.25">
      <c r="A35" s="357">
        <v>10</v>
      </c>
      <c r="B35" s="178" t="s">
        <v>373</v>
      </c>
      <c r="C35" s="350">
        <f>+'F1,F2,F3,F4 (ejecutivo)'!O7+'PREVENCIÓN (Ejecutiva)'!O6+'ATENCIÓN (ejecutiva)'!O7+'IMPUNIDAD (Ejecutiva)'!O7</f>
        <v>2594375.62</v>
      </c>
      <c r="D35" s="351">
        <f>+'F1,F2,F3,F4 (ejecutivo)'!AB7+'PREVENCIÓN (Ejecutiva)'!AB6+'ATENCIÓN (ejecutiva)'!AB7+'IMPUNIDAD (Ejecutiva)'!AB7</f>
        <v>1111397.1200000001</v>
      </c>
      <c r="E35" s="340">
        <f t="shared" si="14"/>
        <v>3705772.74</v>
      </c>
      <c r="F35" s="370"/>
      <c r="G35" s="370"/>
      <c r="H35" s="370"/>
      <c r="I35" s="370"/>
      <c r="J35" s="370"/>
      <c r="K35" s="370"/>
      <c r="L35" s="370"/>
      <c r="M35" s="370"/>
      <c r="N35" s="370"/>
      <c r="O35" s="370"/>
      <c r="P35" s="370"/>
      <c r="Q35" s="370"/>
      <c r="R35" s="370"/>
    </row>
    <row r="36" spans="1:18" ht="15" x14ac:dyDescent="0.25">
      <c r="A36" s="357">
        <v>11</v>
      </c>
      <c r="B36" s="178" t="s">
        <v>374</v>
      </c>
      <c r="C36" s="350">
        <f>+'F1,F2,F3,F4 (ejecutivo)'!P7+'PREVENCIÓN (Ejecutiva)'!P6+'ATENCIÓN (ejecutiva)'!P7+'IMPUNIDAD (Ejecutiva)'!P7</f>
        <v>5084038.07</v>
      </c>
      <c r="D36" s="351">
        <f>+'F1,F2,F3,F4 (ejecutivo)'!AC7+'PREVENCIÓN (Ejecutiva)'!AC6+'ATENCIÓN (ejecutiva)'!AC7+'IMPUNIDAD (Ejecutiva)'!AC7</f>
        <v>1313649.2033333331</v>
      </c>
      <c r="E36" s="340">
        <f t="shared" si="14"/>
        <v>6397687.2733333334</v>
      </c>
      <c r="F36" s="370"/>
      <c r="G36" s="370"/>
      <c r="H36" s="370"/>
      <c r="I36" s="370"/>
      <c r="J36" s="370"/>
      <c r="K36" s="370"/>
      <c r="L36" s="370"/>
      <c r="M36" s="370"/>
      <c r="N36" s="370"/>
      <c r="O36" s="370"/>
      <c r="P36" s="370"/>
      <c r="Q36" s="370"/>
      <c r="R36" s="370"/>
    </row>
    <row r="37" spans="1:18" ht="15" x14ac:dyDescent="0.25">
      <c r="A37" s="357">
        <v>12</v>
      </c>
      <c r="B37" s="178" t="s">
        <v>375</v>
      </c>
      <c r="C37" s="350">
        <f>+'F1,F2,F3,F4 (ejecutivo)'!Q7+'PREVENCIÓN (Ejecutiva)'!Q6+'ATENCIÓN (ejecutiva)'!Q7+'IMPUNIDAD (Ejecutiva)'!Q7</f>
        <v>3012580.0033333334</v>
      </c>
      <c r="D37" s="351"/>
      <c r="E37" s="340">
        <f t="shared" si="14"/>
        <v>3012580.0033333334</v>
      </c>
      <c r="F37" s="370"/>
      <c r="G37" s="370"/>
      <c r="H37" s="370"/>
      <c r="I37" s="370"/>
      <c r="J37" s="370"/>
      <c r="K37" s="370"/>
      <c r="L37" s="370"/>
      <c r="M37" s="370"/>
      <c r="N37" s="370"/>
      <c r="O37" s="370"/>
      <c r="P37" s="370"/>
      <c r="Q37" s="370"/>
      <c r="R37" s="370"/>
    </row>
    <row r="38" spans="1:18" ht="15" x14ac:dyDescent="0.25">
      <c r="A38" s="1005" t="s">
        <v>349</v>
      </c>
      <c r="B38" s="1006"/>
      <c r="C38" s="365">
        <f>SUM(C26:C37)</f>
        <v>24616747.046666671</v>
      </c>
      <c r="D38" s="368">
        <f>SUM(D26:D37)</f>
        <v>29303381.923333336</v>
      </c>
      <c r="E38" s="372">
        <f>SUM(E26:E37)</f>
        <v>53920128.969999999</v>
      </c>
      <c r="F38" s="370"/>
      <c r="G38" s="370"/>
      <c r="H38" s="370"/>
      <c r="I38" s="370"/>
      <c r="J38" s="370"/>
      <c r="K38" s="370"/>
      <c r="L38" s="370"/>
      <c r="M38" s="370"/>
      <c r="N38" s="370"/>
      <c r="O38" s="370"/>
      <c r="P38" s="370"/>
      <c r="Q38" s="370"/>
      <c r="R38" s="370"/>
    </row>
    <row r="39" spans="1:18" ht="15" x14ac:dyDescent="0.25">
      <c r="A39" s="375"/>
      <c r="B39" s="370"/>
      <c r="C39" s="385"/>
      <c r="D39" s="385"/>
      <c r="E39" s="370"/>
      <c r="F39" s="370"/>
      <c r="G39" s="370"/>
      <c r="H39" s="370"/>
      <c r="I39" s="370"/>
      <c r="J39" s="370"/>
      <c r="K39" s="370"/>
      <c r="L39" s="370"/>
      <c r="M39" s="370"/>
      <c r="N39" s="370"/>
      <c r="O39" s="370"/>
      <c r="P39" s="370"/>
      <c r="Q39" s="370"/>
      <c r="R39" s="370"/>
    </row>
    <row r="40" spans="1:18" ht="15" x14ac:dyDescent="0.25">
      <c r="A40" s="375"/>
      <c r="B40" s="370"/>
      <c r="C40" s="370"/>
      <c r="D40" s="370"/>
      <c r="E40" s="370"/>
      <c r="F40" s="370"/>
      <c r="G40" s="370"/>
      <c r="H40" s="370"/>
      <c r="I40" s="370"/>
      <c r="J40" s="370"/>
      <c r="K40" s="370"/>
      <c r="L40" s="370"/>
      <c r="M40" s="370"/>
      <c r="N40" s="370"/>
      <c r="O40" s="370"/>
      <c r="P40" s="370"/>
      <c r="Q40" s="370"/>
      <c r="R40" s="370"/>
    </row>
    <row r="41" spans="1:18" ht="14.4" customHeight="1" x14ac:dyDescent="0.3">
      <c r="A41" s="375"/>
      <c r="B41" s="825" t="s">
        <v>792</v>
      </c>
      <c r="C41" s="1052" t="s">
        <v>656</v>
      </c>
      <c r="D41" s="1053"/>
      <c r="E41" s="1053"/>
      <c r="F41" s="1053"/>
      <c r="G41" s="1053"/>
      <c r="H41" s="370"/>
      <c r="I41" s="370"/>
      <c r="J41" s="370"/>
      <c r="K41" s="370"/>
      <c r="L41" s="370"/>
      <c r="M41" s="370"/>
      <c r="N41" s="370"/>
      <c r="O41" s="370"/>
      <c r="P41" s="370"/>
      <c r="Q41" s="370"/>
      <c r="R41" s="370"/>
    </row>
    <row r="42" spans="1:18" ht="14.4" customHeight="1" x14ac:dyDescent="0.3">
      <c r="A42" s="375"/>
      <c r="B42" s="826"/>
      <c r="C42" s="651" t="s">
        <v>407</v>
      </c>
      <c r="D42" s="651" t="s">
        <v>408</v>
      </c>
      <c r="E42" s="651" t="s">
        <v>645</v>
      </c>
      <c r="F42" s="651" t="s">
        <v>646</v>
      </c>
      <c r="G42" s="723" t="s">
        <v>782</v>
      </c>
      <c r="H42" s="370"/>
      <c r="I42" s="370"/>
      <c r="J42" s="370"/>
      <c r="K42" s="370"/>
      <c r="L42" s="370"/>
      <c r="M42" s="370"/>
      <c r="N42" s="370"/>
      <c r="O42" s="370"/>
      <c r="P42" s="370"/>
      <c r="Q42" s="370"/>
      <c r="R42" s="370"/>
    </row>
    <row r="43" spans="1:18" ht="15" x14ac:dyDescent="0.25">
      <c r="A43" s="375"/>
      <c r="B43" s="814" t="s">
        <v>715</v>
      </c>
      <c r="C43" s="712">
        <f>+D43/8.8858512</f>
        <v>219282.11559518351</v>
      </c>
      <c r="D43" s="713">
        <f>SUM(E43:F43)</f>
        <v>1948508.25</v>
      </c>
      <c r="E43" s="713">
        <v>24440.6</v>
      </c>
      <c r="F43" s="713">
        <v>1924067.65</v>
      </c>
      <c r="G43" s="746">
        <v>8.8858511999999994</v>
      </c>
      <c r="H43" s="370"/>
      <c r="I43" s="370"/>
      <c r="J43" s="370"/>
      <c r="K43" s="370"/>
      <c r="L43" s="370"/>
      <c r="M43" s="370"/>
      <c r="N43" s="370"/>
      <c r="O43" s="370"/>
      <c r="P43" s="370"/>
      <c r="Q43" s="370"/>
      <c r="R43" s="370"/>
    </row>
    <row r="44" spans="1:18" ht="15" x14ac:dyDescent="0.25">
      <c r="A44" s="375"/>
      <c r="B44" s="811" t="s">
        <v>647</v>
      </c>
      <c r="C44" s="648">
        <v>550000</v>
      </c>
      <c r="D44" s="646">
        <v>5221620.72</v>
      </c>
      <c r="E44" s="647">
        <v>4271839.8</v>
      </c>
      <c r="F44" s="647">
        <v>949780.92</v>
      </c>
      <c r="G44" s="747">
        <f>+D44/C44</f>
        <v>9.4938558545454548</v>
      </c>
      <c r="H44" s="370"/>
      <c r="I44" s="370"/>
      <c r="J44" s="370"/>
      <c r="K44" s="370"/>
      <c r="L44" s="370"/>
      <c r="M44" s="370"/>
      <c r="N44" s="370"/>
      <c r="O44" s="370"/>
      <c r="P44" s="370"/>
      <c r="Q44" s="370"/>
      <c r="R44" s="370"/>
    </row>
    <row r="45" spans="1:18" x14ac:dyDescent="0.3">
      <c r="A45" s="375"/>
      <c r="B45" s="811" t="s">
        <v>648</v>
      </c>
      <c r="C45" s="648">
        <v>1000000</v>
      </c>
      <c r="D45" s="649">
        <f>+C45*9.35</f>
        <v>9350000</v>
      </c>
      <c r="E45" s="649">
        <f>500000*9.35</f>
        <v>4675000</v>
      </c>
      <c r="F45" s="649">
        <f>500000*9.35</f>
        <v>4675000</v>
      </c>
      <c r="G45" s="748">
        <v>9.35</v>
      </c>
      <c r="H45" s="370"/>
      <c r="I45" s="370"/>
      <c r="J45" s="370"/>
      <c r="K45" s="370"/>
      <c r="L45" s="370"/>
      <c r="M45" s="370"/>
      <c r="N45" s="370"/>
      <c r="O45" s="370"/>
      <c r="P45" s="370"/>
      <c r="Q45" s="370"/>
      <c r="R45" s="370"/>
    </row>
    <row r="46" spans="1:18" x14ac:dyDescent="0.3">
      <c r="A46" s="375"/>
      <c r="B46" s="812" t="s">
        <v>781</v>
      </c>
      <c r="C46" s="745">
        <f>SUM(C43:C45)</f>
        <v>1769282.1155951836</v>
      </c>
      <c r="D46" s="652">
        <f>SUM(D43:D45)</f>
        <v>16520128.969999999</v>
      </c>
      <c r="E46" s="652">
        <f>SUM(E43:E45)</f>
        <v>8971280.3999999985</v>
      </c>
      <c r="F46" s="652">
        <f>SUM(F43:F45)</f>
        <v>7548848.5700000003</v>
      </c>
      <c r="G46" s="749"/>
      <c r="H46" s="370"/>
      <c r="I46" s="370"/>
      <c r="J46" s="370"/>
      <c r="K46" s="370"/>
      <c r="L46" s="370"/>
      <c r="M46" s="370"/>
      <c r="N46" s="370"/>
      <c r="O46" s="370"/>
      <c r="P46" s="370"/>
      <c r="Q46" s="370"/>
      <c r="R46" s="370"/>
    </row>
    <row r="47" spans="1:18" x14ac:dyDescent="0.3">
      <c r="A47" s="375"/>
      <c r="B47" s="813" t="s">
        <v>780</v>
      </c>
      <c r="C47" s="648">
        <v>4000000</v>
      </c>
      <c r="D47" s="744">
        <f>+C47*9.35</f>
        <v>37400000</v>
      </c>
      <c r="E47" s="744">
        <f>2000000*G47</f>
        <v>18700000</v>
      </c>
      <c r="F47" s="744">
        <f>2000000*G47</f>
        <v>18700000</v>
      </c>
      <c r="G47" s="750">
        <v>9.35</v>
      </c>
      <c r="H47" s="370"/>
      <c r="I47" s="370"/>
      <c r="J47" s="370"/>
      <c r="K47" s="370"/>
      <c r="L47" s="370"/>
      <c r="M47" s="370"/>
      <c r="N47" s="370"/>
      <c r="O47" s="370"/>
      <c r="P47" s="370"/>
      <c r="Q47" s="370"/>
      <c r="R47" s="370"/>
    </row>
    <row r="48" spans="1:18" s="9" customFormat="1" ht="18" customHeight="1" x14ac:dyDescent="0.3">
      <c r="A48" s="10"/>
      <c r="B48" s="815" t="s">
        <v>783</v>
      </c>
      <c r="C48" s="758">
        <f>SUM(C46:C47)</f>
        <v>5769282.1155951833</v>
      </c>
      <c r="D48" s="757">
        <f>SUM(D46:D47)</f>
        <v>53920128.969999999</v>
      </c>
      <c r="E48" s="751">
        <f>SUM(E46:E47)</f>
        <v>27671280.399999999</v>
      </c>
      <c r="F48" s="751">
        <f>SUM(F46:F47)</f>
        <v>26248848.57</v>
      </c>
      <c r="G48" s="749"/>
      <c r="H48" s="780">
        <v>53920128.969999999</v>
      </c>
    </row>
    <row r="49" spans="1:21" s="370" customFormat="1" x14ac:dyDescent="0.3">
      <c r="A49" s="375"/>
      <c r="E49" s="759">
        <f>+E48/D48</f>
        <v>0.51319017458945071</v>
      </c>
      <c r="F49" s="759">
        <f>+F48/D48</f>
        <v>0.48680982541054929</v>
      </c>
    </row>
    <row r="50" spans="1:21" s="370" customFormat="1" x14ac:dyDescent="0.3">
      <c r="A50" s="375"/>
      <c r="B50" s="752" t="s">
        <v>787</v>
      </c>
      <c r="C50" s="716">
        <f>+C44+C45+C47</f>
        <v>5550000</v>
      </c>
      <c r="D50" s="744">
        <f>+D44+D45+D47</f>
        <v>51971620.719999999</v>
      </c>
      <c r="E50" s="744">
        <f>+E44+E45+E47</f>
        <v>27646839.800000001</v>
      </c>
      <c r="F50" s="744">
        <f>+F44+F45+F47</f>
        <v>24324780.920000002</v>
      </c>
    </row>
    <row r="51" spans="1:21" s="370" customFormat="1" ht="15.6" x14ac:dyDescent="0.3">
      <c r="A51" s="375"/>
      <c r="E51" s="759">
        <f>+E50/D50</f>
        <v>0.5319603163609018</v>
      </c>
      <c r="F51" s="759">
        <f>+F50/D50</f>
        <v>0.4680396836390982</v>
      </c>
      <c r="J51" s="796">
        <f>SUM(C26:C29)</f>
        <v>2683543.9500000002</v>
      </c>
      <c r="R51" s="799">
        <f>SUM(C30:C35)</f>
        <v>13836585.023333333</v>
      </c>
      <c r="S51" s="798"/>
      <c r="U51" s="797">
        <f>SUM(C36:C37)</f>
        <v>8096618.0733333342</v>
      </c>
    </row>
    <row r="52" spans="1:21" s="370" customFormat="1" x14ac:dyDescent="0.3">
      <c r="A52" s="375"/>
      <c r="E52" s="759"/>
      <c r="F52" s="759"/>
    </row>
    <row r="53" spans="1:21" s="370" customFormat="1" x14ac:dyDescent="0.3">
      <c r="A53" s="375"/>
      <c r="E53" s="385"/>
      <c r="F53" s="385"/>
    </row>
    <row r="54" spans="1:21" s="370" customFormat="1" x14ac:dyDescent="0.3">
      <c r="A54" s="375"/>
      <c r="C54" s="161" t="s">
        <v>649</v>
      </c>
      <c r="D54" s="385">
        <f>+'PREVENCIÓN (Desglose)'!J104</f>
        <v>220000</v>
      </c>
      <c r="E54" s="385"/>
      <c r="F54" s="385"/>
    </row>
    <row r="55" spans="1:21" s="370" customFormat="1" x14ac:dyDescent="0.3">
      <c r="A55" s="375"/>
      <c r="C55" s="370" t="s">
        <v>337</v>
      </c>
      <c r="D55" s="385">
        <f>+'ATENCIÓN (desglose)'!J124</f>
        <v>4756348.57</v>
      </c>
      <c r="E55" s="385"/>
      <c r="F55" s="385"/>
    </row>
    <row r="56" spans="1:21" s="370" customFormat="1" x14ac:dyDescent="0.3">
      <c r="A56" s="375"/>
      <c r="C56" s="370" t="s">
        <v>627</v>
      </c>
      <c r="D56" s="385">
        <f>+'IMPUNIDAD (desglose)'!J77</f>
        <v>2399650</v>
      </c>
      <c r="E56" s="385"/>
      <c r="F56" s="385"/>
    </row>
    <row r="57" spans="1:21" s="370" customFormat="1" x14ac:dyDescent="0.3">
      <c r="A57" s="375"/>
      <c r="C57" s="370" t="s">
        <v>339</v>
      </c>
      <c r="D57" s="385">
        <f>+'F1,F2,F3,F4 (ejecutivo)'!R33</f>
        <v>180000</v>
      </c>
      <c r="E57" s="385"/>
      <c r="F57" s="385"/>
    </row>
    <row r="58" spans="1:21" s="370" customFormat="1" x14ac:dyDescent="0.3">
      <c r="A58" s="375"/>
      <c r="C58" s="370" t="s">
        <v>650</v>
      </c>
      <c r="D58" s="645">
        <f>SUM(D54:D57)</f>
        <v>7555998.5700000003</v>
      </c>
    </row>
    <row r="59" spans="1:21" s="370" customFormat="1" x14ac:dyDescent="0.3">
      <c r="A59" s="375"/>
      <c r="C59" s="663" t="s">
        <v>351</v>
      </c>
    </row>
    <row r="60" spans="1:21" s="370" customFormat="1" x14ac:dyDescent="0.3">
      <c r="A60" s="375"/>
      <c r="C60" s="370" t="s">
        <v>651</v>
      </c>
      <c r="D60" s="658">
        <f>SUM(C26:C35)</f>
        <v>16520128.973333336</v>
      </c>
    </row>
    <row r="61" spans="1:21" s="370" customFormat="1" x14ac:dyDescent="0.3">
      <c r="A61" s="375"/>
      <c r="C61" s="370" t="s">
        <v>652</v>
      </c>
      <c r="D61" s="650">
        <f>+D46</f>
        <v>16520128.969999999</v>
      </c>
    </row>
    <row r="62" spans="1:21" s="370" customFormat="1" x14ac:dyDescent="0.3">
      <c r="A62" s="375"/>
      <c r="C62" s="527" t="s">
        <v>653</v>
      </c>
      <c r="D62" s="801">
        <f>+D61-D60</f>
        <v>-3.3333376049995422E-3</v>
      </c>
      <c r="E62" s="384"/>
    </row>
    <row r="63" spans="1:21" s="370" customFormat="1" x14ac:dyDescent="0.3">
      <c r="A63" s="375"/>
      <c r="E63" s="384"/>
    </row>
    <row r="64" spans="1:21" s="370" customFormat="1" x14ac:dyDescent="0.3">
      <c r="A64" s="375"/>
    </row>
    <row r="65" spans="1:1" s="370" customFormat="1" x14ac:dyDescent="0.3">
      <c r="A65" s="375"/>
    </row>
    <row r="66" spans="1:1" s="370" customFormat="1" x14ac:dyDescent="0.3">
      <c r="A66" s="375"/>
    </row>
    <row r="67" spans="1:1" s="370" customFormat="1" x14ac:dyDescent="0.3">
      <c r="A67" s="375"/>
    </row>
    <row r="68" spans="1:1" s="370" customFormat="1" x14ac:dyDescent="0.3">
      <c r="A68" s="375"/>
    </row>
    <row r="69" spans="1:1" s="370" customFormat="1" x14ac:dyDescent="0.3">
      <c r="A69" s="375"/>
    </row>
    <row r="70" spans="1:1" s="370" customFormat="1" x14ac:dyDescent="0.3">
      <c r="A70" s="375"/>
    </row>
    <row r="71" spans="1:1" s="370" customFormat="1" x14ac:dyDescent="0.3">
      <c r="A71" s="375"/>
    </row>
    <row r="72" spans="1:1" s="370" customFormat="1" x14ac:dyDescent="0.3">
      <c r="A72" s="375"/>
    </row>
    <row r="73" spans="1:1" s="370" customFormat="1" x14ac:dyDescent="0.3">
      <c r="A73" s="375"/>
    </row>
    <row r="74" spans="1:1" s="370" customFormat="1" x14ac:dyDescent="0.3">
      <c r="A74" s="375"/>
    </row>
    <row r="75" spans="1:1" s="370" customFormat="1" x14ac:dyDescent="0.3">
      <c r="A75" s="375"/>
    </row>
    <row r="76" spans="1:1" s="370" customFormat="1" x14ac:dyDescent="0.3">
      <c r="A76" s="375"/>
    </row>
    <row r="77" spans="1:1" s="370" customFormat="1" x14ac:dyDescent="0.3">
      <c r="A77" s="375"/>
    </row>
    <row r="78" spans="1:1" s="370" customFormat="1" x14ac:dyDescent="0.3">
      <c r="A78" s="375"/>
    </row>
    <row r="79" spans="1:1" s="370" customFormat="1" x14ac:dyDescent="0.3">
      <c r="A79" s="375"/>
    </row>
    <row r="80" spans="1:1" s="370" customFormat="1" x14ac:dyDescent="0.3">
      <c r="A80" s="375"/>
    </row>
    <row r="81" spans="1:1" s="370" customFormat="1" x14ac:dyDescent="0.3">
      <c r="A81" s="375"/>
    </row>
    <row r="82" spans="1:1" s="370" customFormat="1" x14ac:dyDescent="0.3">
      <c r="A82" s="375"/>
    </row>
    <row r="83" spans="1:1" s="370" customFormat="1" x14ac:dyDescent="0.3">
      <c r="A83" s="375"/>
    </row>
    <row r="84" spans="1:1" s="370" customFormat="1" x14ac:dyDescent="0.3">
      <c r="A84" s="375"/>
    </row>
    <row r="85" spans="1:1" s="370" customFormat="1" x14ac:dyDescent="0.3">
      <c r="A85" s="375"/>
    </row>
    <row r="86" spans="1:1" s="370" customFormat="1" x14ac:dyDescent="0.3">
      <c r="A86" s="375"/>
    </row>
    <row r="87" spans="1:1" s="370" customFormat="1" x14ac:dyDescent="0.3">
      <c r="A87" s="375"/>
    </row>
    <row r="88" spans="1:1" s="370" customFormat="1" x14ac:dyDescent="0.3">
      <c r="A88" s="375"/>
    </row>
    <row r="89" spans="1:1" s="370" customFormat="1" x14ac:dyDescent="0.3">
      <c r="A89" s="375"/>
    </row>
    <row r="90" spans="1:1" s="370" customFormat="1" x14ac:dyDescent="0.3">
      <c r="A90" s="375"/>
    </row>
    <row r="91" spans="1:1" s="370" customFormat="1" x14ac:dyDescent="0.3">
      <c r="A91" s="375"/>
    </row>
    <row r="92" spans="1:1" s="370" customFormat="1" x14ac:dyDescent="0.3">
      <c r="A92" s="375"/>
    </row>
    <row r="93" spans="1:1" s="370" customFormat="1" x14ac:dyDescent="0.3">
      <c r="A93" s="375"/>
    </row>
    <row r="94" spans="1:1" s="370" customFormat="1" x14ac:dyDescent="0.3">
      <c r="A94" s="375"/>
    </row>
    <row r="95" spans="1:1" s="370" customFormat="1" x14ac:dyDescent="0.3">
      <c r="A95" s="375"/>
    </row>
    <row r="96" spans="1:1" s="370" customFormat="1" x14ac:dyDescent="0.3">
      <c r="A96" s="375"/>
    </row>
    <row r="97" spans="1:1" s="370" customFormat="1" x14ac:dyDescent="0.3">
      <c r="A97" s="375"/>
    </row>
    <row r="98" spans="1:1" s="370" customFormat="1" x14ac:dyDescent="0.3">
      <c r="A98" s="375"/>
    </row>
    <row r="99" spans="1:1" s="370" customFormat="1" x14ac:dyDescent="0.3">
      <c r="A99" s="375"/>
    </row>
    <row r="100" spans="1:1" s="370" customFormat="1" x14ac:dyDescent="0.3">
      <c r="A100" s="375"/>
    </row>
    <row r="101" spans="1:1" s="370" customFormat="1" x14ac:dyDescent="0.3">
      <c r="A101" s="375"/>
    </row>
    <row r="102" spans="1:1" s="370" customFormat="1" x14ac:dyDescent="0.3">
      <c r="A102" s="375"/>
    </row>
    <row r="103" spans="1:1" s="370" customFormat="1" x14ac:dyDescent="0.3">
      <c r="A103" s="375"/>
    </row>
    <row r="104" spans="1:1" s="370" customFormat="1" x14ac:dyDescent="0.3">
      <c r="A104" s="375"/>
    </row>
    <row r="105" spans="1:1" s="370" customFormat="1" x14ac:dyDescent="0.3">
      <c r="A105" s="375"/>
    </row>
    <row r="106" spans="1:1" s="370" customFormat="1" x14ac:dyDescent="0.3">
      <c r="A106" s="375"/>
    </row>
    <row r="107" spans="1:1" s="370" customFormat="1" x14ac:dyDescent="0.3">
      <c r="A107" s="375"/>
    </row>
    <row r="108" spans="1:1" s="370" customFormat="1" x14ac:dyDescent="0.3">
      <c r="A108" s="375"/>
    </row>
    <row r="109" spans="1:1" s="370" customFormat="1" x14ac:dyDescent="0.3">
      <c r="A109" s="375"/>
    </row>
    <row r="110" spans="1:1" s="370" customFormat="1" x14ac:dyDescent="0.3">
      <c r="A110" s="375"/>
    </row>
    <row r="111" spans="1:1" s="370" customFormat="1" x14ac:dyDescent="0.3">
      <c r="A111" s="375"/>
    </row>
    <row r="112" spans="1:1" s="370" customFormat="1" x14ac:dyDescent="0.3">
      <c r="A112" s="375"/>
    </row>
    <row r="113" spans="1:1" s="370" customFormat="1" x14ac:dyDescent="0.3">
      <c r="A113" s="375"/>
    </row>
    <row r="114" spans="1:1" s="370" customFormat="1" x14ac:dyDescent="0.3">
      <c r="A114" s="375"/>
    </row>
    <row r="115" spans="1:1" s="370" customFormat="1" x14ac:dyDescent="0.3">
      <c r="A115" s="375"/>
    </row>
    <row r="116" spans="1:1" s="370" customFormat="1" x14ac:dyDescent="0.3">
      <c r="A116" s="375"/>
    </row>
    <row r="117" spans="1:1" s="370" customFormat="1" x14ac:dyDescent="0.3">
      <c r="A117" s="375"/>
    </row>
    <row r="118" spans="1:1" s="370" customFormat="1" x14ac:dyDescent="0.3">
      <c r="A118" s="375"/>
    </row>
    <row r="119" spans="1:1" s="370" customFormat="1" x14ac:dyDescent="0.3">
      <c r="A119" s="375"/>
    </row>
    <row r="120" spans="1:1" s="370" customFormat="1" x14ac:dyDescent="0.3">
      <c r="A120" s="375"/>
    </row>
    <row r="121" spans="1:1" s="370" customFormat="1" x14ac:dyDescent="0.3">
      <c r="A121" s="375"/>
    </row>
    <row r="122" spans="1:1" s="370" customFormat="1" x14ac:dyDescent="0.3">
      <c r="A122" s="375"/>
    </row>
    <row r="123" spans="1:1" s="370" customFormat="1" x14ac:dyDescent="0.3">
      <c r="A123" s="375"/>
    </row>
    <row r="124" spans="1:1" s="370" customFormat="1" x14ac:dyDescent="0.3">
      <c r="A124" s="375"/>
    </row>
    <row r="125" spans="1:1" s="370" customFormat="1" x14ac:dyDescent="0.3">
      <c r="A125" s="375"/>
    </row>
    <row r="126" spans="1:1" s="370" customFormat="1" x14ac:dyDescent="0.3">
      <c r="A126" s="375"/>
    </row>
    <row r="127" spans="1:1" s="370" customFormat="1" x14ac:dyDescent="0.3">
      <c r="A127" s="375"/>
    </row>
    <row r="128" spans="1:1" s="370" customFormat="1" x14ac:dyDescent="0.3">
      <c r="A128" s="375"/>
    </row>
    <row r="129" spans="1:18" s="370" customFormat="1" x14ac:dyDescent="0.3">
      <c r="A129" s="375"/>
    </row>
    <row r="130" spans="1:18" s="370" customFormat="1" x14ac:dyDescent="0.3">
      <c r="A130" s="375"/>
    </row>
    <row r="131" spans="1:18" s="370" customFormat="1" x14ac:dyDescent="0.3">
      <c r="A131" s="375"/>
    </row>
    <row r="132" spans="1:18" s="370" customFormat="1" x14ac:dyDescent="0.3">
      <c r="A132" s="375"/>
    </row>
    <row r="133" spans="1:18" s="370" customFormat="1" x14ac:dyDescent="0.3">
      <c r="A133" s="375"/>
    </row>
    <row r="134" spans="1:18" s="370" customFormat="1" x14ac:dyDescent="0.3">
      <c r="A134" s="375"/>
    </row>
    <row r="135" spans="1:18" s="370" customFormat="1" x14ac:dyDescent="0.3">
      <c r="A135" s="375"/>
    </row>
    <row r="136" spans="1:18" s="370" customFormat="1" x14ac:dyDescent="0.3">
      <c r="A136" s="375"/>
    </row>
    <row r="137" spans="1:18" s="370" customFormat="1" x14ac:dyDescent="0.3">
      <c r="A137" s="375"/>
    </row>
    <row r="138" spans="1:18" s="370" customFormat="1" x14ac:dyDescent="0.3">
      <c r="A138" s="375"/>
    </row>
    <row r="139" spans="1:18" s="370" customFormat="1" x14ac:dyDescent="0.3">
      <c r="A139" s="375"/>
    </row>
    <row r="140" spans="1:18" s="370" customFormat="1" x14ac:dyDescent="0.3">
      <c r="A140" s="375"/>
    </row>
    <row r="141" spans="1:18" s="370" customFormat="1" x14ac:dyDescent="0.3">
      <c r="A141" s="375"/>
    </row>
    <row r="142" spans="1:18" s="370" customFormat="1" x14ac:dyDescent="0.3">
      <c r="A142" s="375"/>
    </row>
    <row r="143" spans="1:18" x14ac:dyDescent="0.3">
      <c r="C143" s="370"/>
      <c r="D143" s="370"/>
      <c r="E143" s="370"/>
      <c r="F143" s="370"/>
      <c r="G143" s="370"/>
      <c r="H143" s="370"/>
      <c r="I143" s="370"/>
      <c r="J143" s="370"/>
      <c r="K143" s="370"/>
      <c r="L143" s="370"/>
      <c r="M143" s="370"/>
      <c r="N143" s="370"/>
      <c r="O143" s="370"/>
      <c r="P143" s="370"/>
      <c r="Q143" s="370"/>
      <c r="R143" s="370"/>
    </row>
    <row r="144" spans="1:18" x14ac:dyDescent="0.3">
      <c r="C144" s="370"/>
      <c r="D144" s="370"/>
      <c r="E144" s="370"/>
      <c r="F144" s="370"/>
      <c r="G144" s="370"/>
      <c r="H144" s="370"/>
      <c r="I144" s="370"/>
      <c r="J144" s="370"/>
      <c r="K144" s="370"/>
      <c r="L144" s="370"/>
      <c r="M144" s="370"/>
      <c r="N144" s="370"/>
      <c r="O144" s="370"/>
      <c r="P144" s="370"/>
      <c r="Q144" s="370"/>
      <c r="R144" s="370"/>
    </row>
    <row r="145" spans="3:7" x14ac:dyDescent="0.3">
      <c r="C145" s="370"/>
      <c r="D145" s="370"/>
      <c r="E145" s="370"/>
      <c r="F145" s="370"/>
      <c r="G145" s="370"/>
    </row>
    <row r="146" spans="3:7" x14ac:dyDescent="0.3">
      <c r="D146" s="370"/>
      <c r="E146" s="370"/>
      <c r="F146" s="370"/>
      <c r="G146" s="370"/>
    </row>
    <row r="147" spans="3:7" x14ac:dyDescent="0.3">
      <c r="D147" s="370"/>
      <c r="E147" s="370"/>
      <c r="F147" s="370"/>
      <c r="G147" s="370"/>
    </row>
    <row r="148" spans="3:7" x14ac:dyDescent="0.3">
      <c r="F148" s="370"/>
      <c r="G148" s="370"/>
    </row>
  </sheetData>
  <mergeCells count="30">
    <mergeCell ref="I24:U24"/>
    <mergeCell ref="C41:G41"/>
    <mergeCell ref="N7:O7"/>
    <mergeCell ref="P7:Q7"/>
    <mergeCell ref="Q8:Q9"/>
    <mergeCell ref="S8:S9"/>
    <mergeCell ref="O8:O9"/>
    <mergeCell ref="R8:R9"/>
    <mergeCell ref="P8:P9"/>
    <mergeCell ref="A19:B19"/>
    <mergeCell ref="N8:N9"/>
    <mergeCell ref="L8:L9"/>
    <mergeCell ref="M8:M9"/>
    <mergeCell ref="L7:M7"/>
    <mergeCell ref="A38:B38"/>
    <mergeCell ref="C24:D24"/>
    <mergeCell ref="A23:E23"/>
    <mergeCell ref="A24:A25"/>
    <mergeCell ref="B24:B25"/>
    <mergeCell ref="A1:K1"/>
    <mergeCell ref="A7:K7"/>
    <mergeCell ref="A18:B18"/>
    <mergeCell ref="A17:B17"/>
    <mergeCell ref="B8:B9"/>
    <mergeCell ref="A8:A9"/>
    <mergeCell ref="K8:K9"/>
    <mergeCell ref="C8:E8"/>
    <mergeCell ref="F8:H8"/>
    <mergeCell ref="A5:N5"/>
    <mergeCell ref="A6:N6"/>
  </mergeCells>
  <pageMargins left="0.7" right="0.7" top="0.75" bottom="0.75" header="0.3" footer="0.3"/>
  <pageSetup paperSize="9" orientation="portrait" horizontalDpi="0" verticalDpi="0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BC230"/>
  <sheetViews>
    <sheetView view="pageBreakPreview" zoomScale="70" zoomScaleNormal="50" zoomScaleSheetLayoutView="70" workbookViewId="0">
      <selection activeCell="D209" sqref="D209"/>
    </sheetView>
  </sheetViews>
  <sheetFormatPr baseColWidth="10" defaultRowHeight="14.4" x14ac:dyDescent="0.3"/>
  <cols>
    <col min="1" max="1" width="18.6640625" style="51" customWidth="1"/>
    <col min="2" max="2" width="9.5546875" style="31" customWidth="1"/>
    <col min="3" max="3" width="46.6640625" style="109" customWidth="1"/>
    <col min="4" max="4" width="26.33203125" style="4" bestFit="1" customWidth="1"/>
    <col min="5" max="5" width="29" style="4" customWidth="1"/>
    <col min="6" max="6" width="24.6640625" style="161" customWidth="1"/>
    <col min="7" max="7" width="22" style="4" hidden="1" customWidth="1"/>
    <col min="8" max="8" width="22.5546875" style="4" hidden="1" customWidth="1"/>
    <col min="9" max="9" width="20.5546875" style="4" hidden="1" customWidth="1"/>
    <col min="10" max="10" width="23.44140625" style="4" hidden="1" customWidth="1"/>
    <col min="11" max="11" width="22.109375" style="4" hidden="1" customWidth="1"/>
    <col min="12" max="12" width="20.5546875" style="4" hidden="1" customWidth="1"/>
    <col min="13" max="13" width="23.44140625" style="4" hidden="1" customWidth="1"/>
    <col min="14" max="14" width="23" style="4" hidden="1" customWidth="1"/>
    <col min="15" max="17" width="23.44140625" style="4" hidden="1" customWidth="1"/>
    <col min="18" max="18" width="28.109375" style="59" customWidth="1"/>
    <col min="19" max="19" width="20.5546875" style="4" hidden="1" customWidth="1"/>
    <col min="20" max="20" width="23.44140625" style="4" hidden="1" customWidth="1"/>
    <col min="21" max="21" width="22" style="4" hidden="1" customWidth="1"/>
    <col min="22" max="22" width="21.5546875" style="4" hidden="1" customWidth="1"/>
    <col min="23" max="25" width="22" style="4" hidden="1" customWidth="1"/>
    <col min="26" max="26" width="21.5546875" style="4" hidden="1" customWidth="1"/>
    <col min="27" max="27" width="22" style="4" hidden="1" customWidth="1"/>
    <col min="28" max="28" width="21.5546875" style="4" hidden="1" customWidth="1"/>
    <col min="29" max="29" width="22.5546875" style="4" hidden="1" customWidth="1"/>
    <col min="30" max="30" width="27.6640625" style="59" customWidth="1"/>
    <col min="31" max="55" width="11.5546875" style="370"/>
  </cols>
  <sheetData>
    <row r="1" spans="1:30" s="370" customFormat="1" ht="15" x14ac:dyDescent="0.25">
      <c r="A1" s="816"/>
      <c r="B1" s="762"/>
      <c r="C1" s="817"/>
      <c r="D1" s="9"/>
      <c r="E1" s="9"/>
      <c r="F1" s="818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55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55"/>
    </row>
    <row r="2" spans="1:30" s="370" customFormat="1" ht="18" customHeight="1" x14ac:dyDescent="0.3">
      <c r="A2" s="1056" t="s">
        <v>47</v>
      </c>
      <c r="B2" s="1056"/>
      <c r="C2" s="1056"/>
      <c r="D2" s="1056"/>
      <c r="E2" s="1056"/>
      <c r="F2" s="1056"/>
      <c r="G2" s="1056"/>
      <c r="H2" s="1056"/>
      <c r="I2" s="1056"/>
      <c r="J2" s="1056"/>
      <c r="K2" s="1056"/>
      <c r="L2" s="1056"/>
      <c r="M2" s="1056"/>
      <c r="N2" s="1056"/>
      <c r="O2" s="1056"/>
      <c r="P2" s="1056"/>
      <c r="Q2" s="1056"/>
      <c r="R2" s="1056"/>
      <c r="S2" s="1056"/>
      <c r="T2" s="1056"/>
      <c r="U2" s="1056"/>
      <c r="V2" s="1056"/>
      <c r="W2" s="1056"/>
      <c r="X2" s="1056"/>
      <c r="Y2" s="1056"/>
      <c r="Z2" s="1056"/>
      <c r="AA2" s="1056"/>
      <c r="AB2" s="1056"/>
      <c r="AC2" s="1056"/>
      <c r="AD2" s="1056"/>
    </row>
    <row r="3" spans="1:30" s="370" customFormat="1" ht="9.6" customHeight="1" x14ac:dyDescent="0.3">
      <c r="A3" s="1056"/>
      <c r="B3" s="1056"/>
      <c r="C3" s="1056"/>
      <c r="D3" s="1056"/>
      <c r="E3" s="1056"/>
      <c r="F3" s="1056"/>
      <c r="G3" s="1056"/>
      <c r="H3" s="1056"/>
      <c r="I3" s="1056"/>
      <c r="J3" s="1056"/>
      <c r="K3" s="1056"/>
      <c r="L3" s="1056"/>
      <c r="M3" s="1056"/>
      <c r="N3" s="1056"/>
      <c r="O3" s="1056"/>
      <c r="P3" s="1056"/>
      <c r="Q3" s="1056"/>
      <c r="R3" s="1056"/>
      <c r="S3" s="1056"/>
      <c r="T3" s="1056"/>
      <c r="U3" s="1056"/>
      <c r="V3" s="1056"/>
      <c r="W3" s="1056"/>
      <c r="X3" s="1056"/>
      <c r="Y3" s="1056"/>
      <c r="Z3" s="1056"/>
      <c r="AA3" s="1056"/>
      <c r="AB3" s="1056"/>
      <c r="AC3" s="1056"/>
      <c r="AD3" s="1056"/>
    </row>
    <row r="4" spans="1:30" s="370" customFormat="1" x14ac:dyDescent="0.3">
      <c r="A4" s="1056"/>
      <c r="B4" s="1056"/>
      <c r="C4" s="1056"/>
      <c r="D4" s="1056"/>
      <c r="E4" s="1056"/>
      <c r="F4" s="1056"/>
      <c r="G4" s="1056"/>
      <c r="H4" s="1056"/>
      <c r="I4" s="1056"/>
      <c r="J4" s="1056"/>
      <c r="K4" s="1056"/>
      <c r="L4" s="1056"/>
      <c r="M4" s="1056"/>
      <c r="N4" s="1056"/>
      <c r="O4" s="1056"/>
      <c r="P4" s="1056"/>
      <c r="Q4" s="1056"/>
      <c r="R4" s="1056"/>
      <c r="S4" s="1056"/>
      <c r="T4" s="1056"/>
      <c r="U4" s="1056"/>
      <c r="V4" s="1056"/>
      <c r="W4" s="1056"/>
      <c r="X4" s="1056"/>
      <c r="Y4" s="1056"/>
      <c r="Z4" s="1056"/>
      <c r="AA4" s="1056"/>
      <c r="AB4" s="1056"/>
      <c r="AC4" s="1056"/>
      <c r="AD4" s="1056"/>
    </row>
    <row r="5" spans="1:30" s="370" customFormat="1" ht="15" x14ac:dyDescent="0.25">
      <c r="A5" s="816"/>
      <c r="B5" s="762"/>
      <c r="C5" s="817"/>
      <c r="D5" s="9"/>
      <c r="E5" s="9"/>
      <c r="F5" s="818"/>
      <c r="U5" s="9"/>
      <c r="V5" s="9"/>
      <c r="W5" s="9"/>
      <c r="X5" s="9"/>
      <c r="Y5" s="9"/>
      <c r="Z5" s="9"/>
      <c r="AA5" s="9"/>
      <c r="AB5" s="9"/>
      <c r="AC5" s="9"/>
      <c r="AD5" s="55"/>
    </row>
    <row r="6" spans="1:30" s="370" customFormat="1" ht="15.6" customHeight="1" x14ac:dyDescent="0.25">
      <c r="A6" s="816"/>
      <c r="B6" s="762"/>
      <c r="C6" s="817"/>
      <c r="D6" s="9"/>
      <c r="E6" s="9"/>
      <c r="F6" s="818"/>
      <c r="U6" s="9"/>
      <c r="V6" s="9"/>
      <c r="W6" s="9"/>
      <c r="X6" s="9"/>
      <c r="Y6" s="9"/>
      <c r="Z6" s="9"/>
      <c r="AA6" s="9"/>
      <c r="AB6" s="9"/>
      <c r="AC6" s="9"/>
      <c r="AD6" s="55"/>
    </row>
    <row r="7" spans="1:30" s="370" customFormat="1" ht="15.6" customHeight="1" x14ac:dyDescent="0.25">
      <c r="A7" s="816"/>
      <c r="B7" s="762"/>
      <c r="C7" s="817"/>
      <c r="D7" s="9"/>
      <c r="E7" s="9"/>
      <c r="F7" s="818"/>
      <c r="U7" s="9"/>
      <c r="V7" s="9"/>
      <c r="W7" s="9"/>
      <c r="X7" s="9"/>
      <c r="Y7" s="9"/>
      <c r="Z7" s="9"/>
      <c r="AA7" s="9"/>
      <c r="AB7" s="9"/>
      <c r="AC7" s="9"/>
      <c r="AD7" s="55"/>
    </row>
    <row r="8" spans="1:30" s="370" customFormat="1" ht="20.399999999999999" customHeight="1" x14ac:dyDescent="0.25">
      <c r="A8" s="816"/>
      <c r="B8" s="762"/>
      <c r="C8" s="817"/>
      <c r="D8" s="9"/>
      <c r="E8" s="9"/>
      <c r="F8" s="818"/>
      <c r="U8" s="9"/>
      <c r="V8" s="9"/>
      <c r="W8" s="9"/>
      <c r="X8" s="9"/>
      <c r="Y8" s="9"/>
      <c r="Z8" s="9"/>
      <c r="AA8" s="9"/>
      <c r="AB8" s="9"/>
      <c r="AC8" s="9"/>
      <c r="AD8" s="55"/>
    </row>
    <row r="9" spans="1:30" s="370" customFormat="1" ht="10.199999999999999" customHeight="1" x14ac:dyDescent="0.25">
      <c r="A9" s="816"/>
      <c r="B9" s="762"/>
      <c r="C9" s="817"/>
      <c r="D9" s="9"/>
      <c r="E9" s="9"/>
      <c r="F9" s="818"/>
      <c r="U9" s="9"/>
      <c r="V9" s="9"/>
      <c r="W9" s="9"/>
      <c r="X9" s="9"/>
      <c r="Y9" s="9"/>
      <c r="Z9" s="9"/>
      <c r="AA9" s="9"/>
      <c r="AB9" s="9"/>
      <c r="AC9" s="9"/>
      <c r="AD9" s="55"/>
    </row>
    <row r="10" spans="1:30" s="370" customFormat="1" ht="15.6" customHeight="1" x14ac:dyDescent="0.25">
      <c r="A10" s="816"/>
      <c r="B10" s="762"/>
      <c r="C10" s="817"/>
      <c r="D10" s="9"/>
      <c r="E10" s="9"/>
      <c r="F10" s="818"/>
      <c r="U10" s="9"/>
      <c r="V10" s="9"/>
      <c r="W10" s="9"/>
      <c r="X10" s="9"/>
      <c r="Y10" s="9"/>
      <c r="Z10" s="9"/>
      <c r="AA10" s="9"/>
      <c r="AB10" s="9"/>
      <c r="AC10" s="9"/>
      <c r="AD10" s="55"/>
    </row>
    <row r="11" spans="1:30" s="370" customFormat="1" ht="15.6" customHeight="1" x14ac:dyDescent="0.25">
      <c r="A11" s="816"/>
      <c r="B11" s="762"/>
      <c r="C11" s="817"/>
      <c r="D11" s="9"/>
      <c r="E11" s="9"/>
      <c r="F11" s="818"/>
      <c r="U11" s="9"/>
      <c r="V11" s="9"/>
      <c r="W11" s="9"/>
      <c r="X11" s="9"/>
      <c r="Y11" s="9"/>
      <c r="Z11" s="9"/>
      <c r="AA11" s="9"/>
      <c r="AB11" s="9"/>
      <c r="AC11" s="9"/>
      <c r="AD11" s="55"/>
    </row>
    <row r="12" spans="1:30" s="370" customFormat="1" ht="15.6" customHeight="1" x14ac:dyDescent="0.25">
      <c r="A12" s="816"/>
      <c r="B12" s="762"/>
      <c r="C12" s="817"/>
      <c r="D12" s="9"/>
      <c r="E12" s="9"/>
      <c r="F12" s="818"/>
      <c r="U12" s="9"/>
      <c r="V12" s="9"/>
      <c r="W12" s="9"/>
      <c r="X12" s="9"/>
      <c r="Y12" s="9"/>
      <c r="Z12" s="9"/>
      <c r="AA12" s="9"/>
      <c r="AB12" s="9"/>
      <c r="AC12" s="9"/>
      <c r="AD12" s="55"/>
    </row>
    <row r="13" spans="1:30" s="370" customFormat="1" ht="15" x14ac:dyDescent="0.25">
      <c r="A13" s="816"/>
      <c r="B13" s="762"/>
      <c r="C13" s="817"/>
      <c r="D13" s="9"/>
      <c r="E13" s="9"/>
      <c r="F13" s="818"/>
      <c r="U13" s="9"/>
      <c r="V13" s="9"/>
      <c r="W13" s="9"/>
      <c r="X13" s="9"/>
      <c r="Y13" s="9"/>
      <c r="Z13" s="9"/>
      <c r="AA13" s="9"/>
      <c r="AB13" s="9"/>
      <c r="AC13" s="9"/>
      <c r="AD13" s="55"/>
    </row>
    <row r="14" spans="1:30" s="370" customFormat="1" ht="15.6" customHeight="1" x14ac:dyDescent="0.25">
      <c r="A14" s="816"/>
      <c r="B14" s="762"/>
      <c r="C14" s="817"/>
      <c r="D14" s="9"/>
      <c r="E14" s="9"/>
      <c r="F14" s="818"/>
      <c r="U14" s="9"/>
      <c r="V14" s="9"/>
      <c r="W14" s="9"/>
      <c r="X14" s="9"/>
      <c r="Y14" s="9"/>
      <c r="Z14" s="9"/>
      <c r="AA14" s="9"/>
      <c r="AB14" s="9"/>
      <c r="AC14" s="9"/>
      <c r="AD14" s="55"/>
    </row>
    <row r="15" spans="1:30" s="370" customFormat="1" ht="15.6" customHeight="1" x14ac:dyDescent="0.25">
      <c r="A15" s="816"/>
      <c r="B15" s="762"/>
      <c r="C15" s="817"/>
      <c r="D15" s="9"/>
      <c r="E15" s="9"/>
      <c r="F15" s="818"/>
      <c r="U15" s="9"/>
      <c r="V15" s="9"/>
      <c r="W15" s="9"/>
      <c r="X15" s="9"/>
      <c r="Y15" s="9"/>
      <c r="Z15" s="9"/>
      <c r="AA15" s="9"/>
      <c r="AB15" s="9"/>
      <c r="AC15" s="9"/>
      <c r="AD15" s="55"/>
    </row>
    <row r="16" spans="1:30" s="370" customFormat="1" ht="4.5" customHeight="1" x14ac:dyDescent="0.25">
      <c r="A16" s="816"/>
      <c r="B16" s="762"/>
      <c r="C16" s="817"/>
      <c r="D16" s="9"/>
      <c r="E16" s="9"/>
      <c r="F16" s="818"/>
      <c r="U16" s="9"/>
      <c r="V16" s="9"/>
      <c r="W16" s="9"/>
      <c r="X16" s="9"/>
      <c r="Y16" s="9"/>
      <c r="Z16" s="9"/>
      <c r="AA16" s="9"/>
      <c r="AB16" s="9"/>
      <c r="AC16" s="9"/>
      <c r="AD16" s="55"/>
    </row>
    <row r="17" spans="1:30" s="370" customFormat="1" ht="7.5" customHeight="1" x14ac:dyDescent="0.25">
      <c r="A17" s="816"/>
      <c r="B17" s="762"/>
      <c r="C17" s="817"/>
      <c r="D17" s="9"/>
      <c r="E17" s="9"/>
      <c r="F17" s="818"/>
      <c r="U17" s="9"/>
      <c r="V17" s="9"/>
      <c r="W17" s="9"/>
      <c r="X17" s="9"/>
      <c r="Y17" s="9"/>
      <c r="Z17" s="9"/>
      <c r="AA17" s="9"/>
      <c r="AB17" s="9"/>
      <c r="AC17" s="9"/>
      <c r="AD17" s="55"/>
    </row>
    <row r="18" spans="1:30" s="370" customFormat="1" ht="18" customHeight="1" x14ac:dyDescent="0.3">
      <c r="A18" s="844" t="s">
        <v>793</v>
      </c>
      <c r="B18" s="843"/>
      <c r="C18" s="843"/>
      <c r="D18" s="845" t="s">
        <v>794</v>
      </c>
      <c r="E18" s="847"/>
      <c r="F18" s="847"/>
      <c r="G18" s="847"/>
      <c r="H18" s="847"/>
      <c r="I18" s="819"/>
      <c r="J18" s="819"/>
      <c r="K18" s="819"/>
      <c r="L18" s="819"/>
      <c r="M18" s="819"/>
      <c r="N18" s="9"/>
      <c r="O18" s="9"/>
      <c r="P18" s="9"/>
      <c r="Q18" s="55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55"/>
    </row>
    <row r="19" spans="1:30" s="370" customFormat="1" ht="18" customHeight="1" x14ac:dyDescent="0.3">
      <c r="A19" s="844" t="s">
        <v>795</v>
      </c>
      <c r="B19" s="843"/>
      <c r="C19" s="843"/>
      <c r="D19" s="866" t="s">
        <v>796</v>
      </c>
      <c r="E19" s="824"/>
      <c r="F19" s="824"/>
      <c r="G19" s="824"/>
      <c r="H19" s="824"/>
      <c r="I19" s="824"/>
      <c r="J19" s="824"/>
      <c r="K19" s="824"/>
      <c r="L19" s="824"/>
      <c r="M19" s="824"/>
      <c r="N19" s="9"/>
      <c r="O19" s="55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55"/>
    </row>
    <row r="20" spans="1:30" s="370" customFormat="1" ht="18" customHeight="1" x14ac:dyDescent="0.25">
      <c r="A20" s="844" t="s">
        <v>797</v>
      </c>
      <c r="B20" s="843"/>
      <c r="C20" s="843"/>
      <c r="D20" s="866" t="s">
        <v>798</v>
      </c>
      <c r="E20" s="824"/>
      <c r="F20" s="824"/>
      <c r="G20" s="824"/>
      <c r="H20" s="824"/>
      <c r="I20" s="824"/>
      <c r="J20" s="824"/>
      <c r="K20" s="824"/>
      <c r="L20" s="824"/>
      <c r="M20" s="824"/>
      <c r="N20" s="9"/>
      <c r="O20" s="9"/>
      <c r="P20" s="9"/>
      <c r="Q20" s="9"/>
      <c r="R20" s="9"/>
      <c r="S20" s="9"/>
      <c r="T20" s="9"/>
      <c r="U20" s="9"/>
      <c r="V20" s="9"/>
      <c r="W20" s="55"/>
    </row>
    <row r="21" spans="1:30" s="370" customFormat="1" ht="18" customHeight="1" x14ac:dyDescent="0.3">
      <c r="A21" s="844" t="s">
        <v>799</v>
      </c>
      <c r="B21" s="843"/>
      <c r="C21" s="843"/>
      <c r="D21" s="866">
        <v>2021</v>
      </c>
      <c r="E21" s="824"/>
      <c r="F21" s="824"/>
      <c r="G21" s="824"/>
      <c r="H21" s="824"/>
      <c r="I21" s="824"/>
      <c r="J21" s="824"/>
      <c r="K21" s="824"/>
      <c r="L21" s="824"/>
      <c r="M21" s="824"/>
      <c r="N21" s="9"/>
      <c r="O21" s="9"/>
      <c r="P21" s="9"/>
      <c r="Q21" s="9"/>
      <c r="R21" s="9"/>
      <c r="S21" s="9"/>
      <c r="T21" s="9"/>
      <c r="U21" s="9"/>
      <c r="V21" s="9"/>
      <c r="W21" s="55"/>
    </row>
    <row r="22" spans="1:30" s="370" customFormat="1" ht="18" customHeight="1" x14ac:dyDescent="0.3">
      <c r="A22" s="844" t="s">
        <v>800</v>
      </c>
      <c r="B22" s="843"/>
      <c r="C22" s="843"/>
      <c r="D22" s="867">
        <v>43227</v>
      </c>
      <c r="E22" s="823"/>
      <c r="F22" s="823"/>
      <c r="G22" s="823"/>
      <c r="H22" s="823"/>
      <c r="I22" s="823"/>
      <c r="J22" s="823"/>
      <c r="K22" s="823"/>
      <c r="L22" s="823"/>
      <c r="M22" s="823"/>
      <c r="N22" s="9"/>
      <c r="O22" s="9"/>
      <c r="P22" s="9"/>
      <c r="Q22" s="9"/>
      <c r="R22" s="9"/>
      <c r="S22" s="9"/>
      <c r="T22" s="9"/>
      <c r="U22" s="9"/>
      <c r="V22" s="9"/>
      <c r="W22" s="55"/>
    </row>
    <row r="23" spans="1:30" s="370" customFormat="1" ht="18" customHeight="1" x14ac:dyDescent="0.3">
      <c r="A23" s="844" t="s">
        <v>806</v>
      </c>
      <c r="B23" s="843"/>
      <c r="C23" s="843"/>
      <c r="D23" s="867">
        <v>44156</v>
      </c>
      <c r="E23" s="823"/>
      <c r="F23" s="823"/>
      <c r="G23" s="823"/>
      <c r="H23" s="823"/>
      <c r="I23" s="823"/>
      <c r="J23" s="823"/>
      <c r="K23" s="823"/>
      <c r="L23" s="823"/>
      <c r="M23" s="823"/>
      <c r="N23" s="9"/>
      <c r="O23" s="9"/>
      <c r="P23" s="9"/>
      <c r="Q23" s="9"/>
      <c r="R23" s="9"/>
      <c r="S23" s="9"/>
      <c r="T23" s="9"/>
      <c r="U23" s="9"/>
      <c r="V23" s="9"/>
      <c r="W23" s="55"/>
    </row>
    <row r="24" spans="1:30" s="370" customFormat="1" ht="18" customHeight="1" x14ac:dyDescent="0.3">
      <c r="A24" s="844" t="s">
        <v>807</v>
      </c>
      <c r="B24" s="843"/>
      <c r="C24" s="843"/>
      <c r="D24" s="846">
        <v>44886</v>
      </c>
      <c r="E24" s="823"/>
      <c r="F24" s="823"/>
      <c r="G24" s="823"/>
      <c r="H24" s="823"/>
      <c r="I24" s="823"/>
      <c r="J24" s="823"/>
      <c r="K24" s="823"/>
      <c r="L24" s="823"/>
      <c r="M24" s="823"/>
      <c r="N24" s="9"/>
      <c r="O24" s="9"/>
      <c r="P24" s="9"/>
      <c r="Q24" s="9"/>
      <c r="R24" s="9"/>
      <c r="S24" s="9"/>
      <c r="T24" s="9"/>
      <c r="U24" s="9"/>
      <c r="V24" s="9"/>
      <c r="W24" s="55"/>
    </row>
    <row r="25" spans="1:30" s="370" customFormat="1" ht="18" customHeight="1" x14ac:dyDescent="0.3">
      <c r="A25" s="844" t="s">
        <v>815</v>
      </c>
      <c r="B25" s="843"/>
      <c r="C25" s="843"/>
      <c r="D25" s="868" t="s">
        <v>849</v>
      </c>
      <c r="E25" s="824"/>
      <c r="F25" s="824"/>
      <c r="G25" s="824"/>
      <c r="H25" s="824"/>
      <c r="I25" s="824"/>
      <c r="J25" s="824"/>
      <c r="K25" s="824"/>
      <c r="L25" s="824"/>
      <c r="M25" s="824"/>
      <c r="N25" s="9"/>
      <c r="O25" s="9"/>
      <c r="P25" s="9"/>
      <c r="Q25" s="9"/>
      <c r="R25" s="9"/>
      <c r="S25" s="9"/>
      <c r="T25" s="9"/>
      <c r="U25" s="9"/>
      <c r="V25" s="9"/>
      <c r="W25" s="55"/>
    </row>
    <row r="26" spans="1:30" s="370" customFormat="1" ht="18" customHeight="1" x14ac:dyDescent="0.25">
      <c r="A26" s="844" t="s">
        <v>811</v>
      </c>
      <c r="B26" s="822"/>
      <c r="C26" s="822"/>
      <c r="D26" s="1062"/>
      <c r="E26" s="1062"/>
      <c r="F26" s="852"/>
      <c r="G26" s="849"/>
      <c r="H26" s="848" t="s">
        <v>648</v>
      </c>
      <c r="I26" s="849"/>
      <c r="J26" s="848" t="s">
        <v>780</v>
      </c>
      <c r="K26" s="849"/>
      <c r="L26" s="824"/>
      <c r="M26" s="824"/>
      <c r="N26" s="9"/>
      <c r="O26" s="9"/>
      <c r="P26" s="9"/>
      <c r="Q26" s="9"/>
      <c r="R26" s="9"/>
      <c r="S26" s="9"/>
      <c r="T26" s="9"/>
      <c r="U26" s="9"/>
      <c r="V26" s="9"/>
      <c r="W26" s="55"/>
    </row>
    <row r="27" spans="1:30" s="370" customFormat="1" ht="18" customHeight="1" x14ac:dyDescent="0.3">
      <c r="A27" s="844" t="s">
        <v>801</v>
      </c>
      <c r="B27" s="843"/>
      <c r="C27" s="843"/>
      <c r="D27" s="857"/>
      <c r="E27" s="854"/>
      <c r="F27" s="858"/>
      <c r="G27" s="853">
        <f>+F27/9.497809</f>
        <v>0</v>
      </c>
      <c r="H27" s="839">
        <f>+I27*9.35</f>
        <v>4675000</v>
      </c>
      <c r="I27" s="827">
        <v>500000</v>
      </c>
      <c r="J27" s="839">
        <f>+K27*9.35</f>
        <v>18700000</v>
      </c>
      <c r="K27" s="829">
        <v>2000000</v>
      </c>
      <c r="L27" s="819"/>
      <c r="M27" s="819"/>
      <c r="N27" s="9"/>
      <c r="O27" s="9"/>
      <c r="P27" s="9"/>
      <c r="Q27" s="9"/>
      <c r="R27" s="9"/>
      <c r="S27" s="9"/>
      <c r="T27" s="9"/>
      <c r="U27" s="9"/>
      <c r="V27" s="9"/>
      <c r="W27" s="55"/>
    </row>
    <row r="28" spans="1:30" s="370" customFormat="1" ht="18" customHeight="1" x14ac:dyDescent="0.25">
      <c r="A28" s="844" t="s">
        <v>802</v>
      </c>
      <c r="B28" s="843"/>
      <c r="C28" s="843"/>
      <c r="D28" s="857"/>
      <c r="E28" s="854"/>
      <c r="F28" s="858"/>
      <c r="G28" s="854">
        <f>+F28/9.4929773</f>
        <v>0</v>
      </c>
      <c r="H28" s="840">
        <f>+I28*9.35</f>
        <v>4675000</v>
      </c>
      <c r="I28" s="820">
        <v>500000</v>
      </c>
      <c r="J28" s="840">
        <f>+K28*9.35</f>
        <v>18700000</v>
      </c>
      <c r="K28" s="830">
        <v>2000000</v>
      </c>
      <c r="L28" s="819"/>
      <c r="M28" s="819"/>
      <c r="N28" s="9"/>
      <c r="O28" s="9"/>
      <c r="P28" s="9"/>
      <c r="Q28" s="9"/>
      <c r="R28" s="9"/>
      <c r="S28" s="9"/>
      <c r="T28" s="9"/>
      <c r="U28" s="9"/>
      <c r="V28" s="9"/>
      <c r="W28" s="55"/>
    </row>
    <row r="29" spans="1:30" s="370" customFormat="1" ht="18" customHeight="1" x14ac:dyDescent="0.25">
      <c r="A29" s="844" t="s">
        <v>812</v>
      </c>
      <c r="B29" s="843"/>
      <c r="C29" s="843"/>
      <c r="D29" s="859"/>
      <c r="E29" s="854"/>
      <c r="F29" s="858"/>
      <c r="G29" s="855">
        <f>SUM(G27:G28)</f>
        <v>0</v>
      </c>
      <c r="H29" s="841">
        <f t="shared" ref="H29:K29" si="0">SUM(H27:H28)</f>
        <v>9350000</v>
      </c>
      <c r="I29" s="828">
        <f t="shared" si="0"/>
        <v>1000000</v>
      </c>
      <c r="J29" s="841">
        <f t="shared" si="0"/>
        <v>37400000</v>
      </c>
      <c r="K29" s="831">
        <f t="shared" si="0"/>
        <v>4000000</v>
      </c>
      <c r="L29" s="819"/>
      <c r="M29" s="819"/>
      <c r="N29" s="9"/>
      <c r="O29" s="9"/>
      <c r="P29" s="9"/>
      <c r="Q29" s="9"/>
      <c r="R29" s="9"/>
      <c r="S29" s="9"/>
      <c r="T29" s="9"/>
      <c r="U29" s="9"/>
      <c r="V29" s="9"/>
      <c r="W29" s="55"/>
    </row>
    <row r="30" spans="1:30" s="370" customFormat="1" ht="18" customHeight="1" x14ac:dyDescent="0.25">
      <c r="A30" s="931" t="s">
        <v>851</v>
      </c>
      <c r="B30" s="932"/>
      <c r="C30" s="932"/>
      <c r="D30" s="933">
        <f>+D31*D32</f>
        <v>8.8858511999999994</v>
      </c>
      <c r="E30" s="934">
        <f>+'RESUMEN en Euros'!O18</f>
        <v>9.4938558545454494</v>
      </c>
      <c r="F30" s="935">
        <v>9.35</v>
      </c>
      <c r="G30" s="936"/>
      <c r="H30" s="937"/>
      <c r="I30" s="936"/>
      <c r="J30" s="937"/>
      <c r="K30" s="936"/>
      <c r="L30" s="938"/>
      <c r="M30" s="938"/>
      <c r="N30" s="939"/>
      <c r="O30" s="939"/>
      <c r="P30" s="939"/>
      <c r="Q30" s="939"/>
      <c r="R30" s="935">
        <v>9.35</v>
      </c>
      <c r="S30" s="939"/>
      <c r="T30" s="939"/>
      <c r="U30" s="939"/>
      <c r="V30" s="939"/>
      <c r="W30" s="940"/>
      <c r="X30" s="941"/>
      <c r="Y30" s="941"/>
      <c r="Z30" s="941"/>
      <c r="AA30" s="941"/>
      <c r="AB30" s="941"/>
      <c r="AC30" s="941"/>
      <c r="AD30" s="944">
        <f>+F39/5769282.12</f>
        <v>9.3460725006112213</v>
      </c>
    </row>
    <row r="31" spans="1:30" s="370" customFormat="1" ht="18" customHeight="1" x14ac:dyDescent="0.3">
      <c r="A31" s="844" t="s">
        <v>803</v>
      </c>
      <c r="B31" s="843"/>
      <c r="C31" s="843"/>
      <c r="D31" s="856">
        <v>1.1981999999999999</v>
      </c>
      <c r="F31" s="850"/>
      <c r="G31" s="838"/>
      <c r="H31" s="838"/>
      <c r="I31" s="838"/>
      <c r="J31" s="838"/>
      <c r="K31" s="838"/>
      <c r="L31" s="832"/>
      <c r="M31" s="832"/>
      <c r="N31" s="9"/>
      <c r="O31" s="9"/>
      <c r="P31" s="9"/>
      <c r="Q31" s="9"/>
      <c r="R31" s="9"/>
      <c r="S31" s="9"/>
      <c r="T31" s="9"/>
      <c r="U31" s="9"/>
      <c r="V31" s="9"/>
      <c r="W31" s="55"/>
    </row>
    <row r="32" spans="1:30" s="370" customFormat="1" ht="18" customHeight="1" x14ac:dyDescent="0.3">
      <c r="A32" s="844" t="s">
        <v>804</v>
      </c>
      <c r="B32" s="843"/>
      <c r="C32" s="843"/>
      <c r="D32" s="851">
        <v>7.4160000000000004</v>
      </c>
      <c r="E32" s="851"/>
      <c r="F32" s="850"/>
      <c r="G32" s="850"/>
      <c r="H32" s="833"/>
      <c r="I32" s="833"/>
      <c r="J32" s="833"/>
      <c r="K32" s="833"/>
      <c r="L32" s="832"/>
      <c r="M32" s="832"/>
      <c r="N32" s="9"/>
      <c r="O32" s="9"/>
      <c r="P32" s="9"/>
      <c r="Q32" s="9"/>
      <c r="R32" s="9"/>
      <c r="S32" s="9"/>
      <c r="T32" s="9"/>
      <c r="U32" s="9"/>
      <c r="V32" s="9"/>
      <c r="W32" s="55"/>
    </row>
    <row r="33" spans="1:55" s="370" customFormat="1" ht="18" customHeight="1" x14ac:dyDescent="0.25">
      <c r="A33" s="844" t="s">
        <v>809</v>
      </c>
      <c r="B33" s="843"/>
      <c r="C33" s="843"/>
      <c r="D33" s="821" t="s">
        <v>808</v>
      </c>
      <c r="E33" s="821"/>
      <c r="F33" s="1089"/>
      <c r="G33" s="1089"/>
      <c r="H33" s="821"/>
      <c r="I33" s="821"/>
      <c r="J33" s="821"/>
      <c r="K33" s="821"/>
      <c r="L33" s="821"/>
      <c r="M33" s="819"/>
      <c r="N33" s="9"/>
      <c r="O33" s="9"/>
      <c r="P33" s="9"/>
      <c r="Q33" s="9"/>
      <c r="R33" s="9"/>
      <c r="S33" s="9"/>
      <c r="T33" s="9"/>
      <c r="U33" s="9"/>
      <c r="V33" s="9"/>
      <c r="W33" s="55"/>
    </row>
    <row r="34" spans="1:55" s="370" customFormat="1" ht="18" customHeight="1" x14ac:dyDescent="0.25">
      <c r="A34" s="844" t="s">
        <v>805</v>
      </c>
      <c r="B34" s="843"/>
      <c r="C34" s="843"/>
      <c r="D34" s="819" t="s">
        <v>810</v>
      </c>
      <c r="E34" s="819"/>
      <c r="F34" s="821"/>
      <c r="G34" s="821"/>
      <c r="H34" s="821"/>
      <c r="I34" s="821"/>
      <c r="J34" s="821"/>
      <c r="K34" s="821"/>
      <c r="L34" s="821"/>
      <c r="M34" s="819"/>
      <c r="N34" s="9"/>
      <c r="O34" s="9"/>
      <c r="P34" s="9"/>
      <c r="Q34" s="9"/>
      <c r="R34" s="9"/>
      <c r="S34" s="9"/>
      <c r="T34" s="9"/>
      <c r="U34" s="9"/>
      <c r="V34" s="9"/>
      <c r="W34" s="55"/>
    </row>
    <row r="35" spans="1:55" s="370" customFormat="1" ht="15" x14ac:dyDescent="0.25">
      <c r="A35" s="816"/>
      <c r="B35" s="762"/>
      <c r="C35" s="817"/>
      <c r="D35" s="9"/>
      <c r="O35" s="9"/>
      <c r="P35" s="9"/>
      <c r="Q35" s="9"/>
      <c r="R35" s="9"/>
      <c r="S35" s="9"/>
      <c r="T35" s="9"/>
      <c r="U35" s="9"/>
      <c r="V35" s="9"/>
      <c r="W35" s="9"/>
      <c r="X35" s="55"/>
    </row>
    <row r="36" spans="1:55" s="370" customFormat="1" ht="15" x14ac:dyDescent="0.25">
      <c r="A36" s="816"/>
      <c r="B36" s="762"/>
      <c r="C36" s="817"/>
      <c r="D36" s="9"/>
      <c r="E36" s="9"/>
      <c r="F36" s="818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55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55"/>
    </row>
    <row r="37" spans="1:55" ht="21" customHeight="1" x14ac:dyDescent="0.3">
      <c r="A37" s="1069" t="s">
        <v>48</v>
      </c>
      <c r="B37" s="1070"/>
      <c r="C37" s="1071"/>
      <c r="D37" s="1106" t="s">
        <v>43</v>
      </c>
      <c r="E37" s="1106" t="s">
        <v>44</v>
      </c>
      <c r="F37" s="1107" t="s">
        <v>85</v>
      </c>
      <c r="G37" s="1108"/>
      <c r="H37" s="1109"/>
      <c r="I37" s="1109"/>
      <c r="J37" s="1109"/>
      <c r="K37" s="1109"/>
      <c r="L37" s="1109"/>
      <c r="M37" s="1109"/>
      <c r="N37" s="1109"/>
      <c r="O37" s="1109"/>
      <c r="P37" s="1109"/>
      <c r="Q37" s="1110"/>
      <c r="R37" s="1101" t="s">
        <v>41</v>
      </c>
      <c r="S37" s="1111">
        <v>2022</v>
      </c>
      <c r="T37" s="1111"/>
      <c r="U37" s="1111"/>
      <c r="V37" s="1111"/>
      <c r="W37" s="1111"/>
      <c r="X37" s="1111"/>
      <c r="Y37" s="1111"/>
      <c r="Z37" s="1111"/>
      <c r="AA37" s="1111"/>
      <c r="AB37" s="1111"/>
      <c r="AC37" s="1111"/>
      <c r="AD37" s="1101" t="s">
        <v>42</v>
      </c>
    </row>
    <row r="38" spans="1:55" s="89" customFormat="1" ht="39.75" customHeight="1" x14ac:dyDescent="0.3">
      <c r="A38" s="119" t="s">
        <v>49</v>
      </c>
      <c r="B38" s="120" t="s">
        <v>50</v>
      </c>
      <c r="C38" s="121" t="s">
        <v>51</v>
      </c>
      <c r="D38" s="1106"/>
      <c r="E38" s="1106"/>
      <c r="F38" s="1107"/>
      <c r="G38" s="122">
        <v>44228</v>
      </c>
      <c r="H38" s="122">
        <v>44256</v>
      </c>
      <c r="I38" s="122">
        <v>44287</v>
      </c>
      <c r="J38" s="122">
        <v>44317</v>
      </c>
      <c r="K38" s="122">
        <v>44348</v>
      </c>
      <c r="L38" s="122">
        <v>44378</v>
      </c>
      <c r="M38" s="122">
        <v>44409</v>
      </c>
      <c r="N38" s="122">
        <v>44440</v>
      </c>
      <c r="O38" s="122">
        <v>44470</v>
      </c>
      <c r="P38" s="122">
        <v>44501</v>
      </c>
      <c r="Q38" s="122">
        <v>44531</v>
      </c>
      <c r="R38" s="1101"/>
      <c r="S38" s="123">
        <v>44562</v>
      </c>
      <c r="T38" s="122">
        <v>44593</v>
      </c>
      <c r="U38" s="122">
        <v>44621</v>
      </c>
      <c r="V38" s="122">
        <v>44652</v>
      </c>
      <c r="W38" s="122">
        <v>44682</v>
      </c>
      <c r="X38" s="122">
        <v>44713</v>
      </c>
      <c r="Y38" s="122">
        <v>44743</v>
      </c>
      <c r="Z38" s="122">
        <v>44774</v>
      </c>
      <c r="AA38" s="122">
        <v>44805</v>
      </c>
      <c r="AB38" s="122">
        <v>44835</v>
      </c>
      <c r="AC38" s="122">
        <v>44866</v>
      </c>
      <c r="AD38" s="1101"/>
      <c r="AE38" s="860"/>
      <c r="AF38" s="860"/>
      <c r="AG38" s="860"/>
      <c r="AH38" s="860"/>
      <c r="AI38" s="860"/>
      <c r="AJ38" s="860"/>
      <c r="AK38" s="860"/>
      <c r="AL38" s="860"/>
      <c r="AM38" s="860"/>
      <c r="AN38" s="860"/>
      <c r="AO38" s="860"/>
      <c r="AP38" s="860"/>
      <c r="AQ38" s="860"/>
      <c r="AR38" s="860"/>
      <c r="AS38" s="860"/>
      <c r="AT38" s="860"/>
      <c r="AU38" s="860"/>
      <c r="AV38" s="860"/>
      <c r="AW38" s="860"/>
      <c r="AX38" s="860"/>
      <c r="AY38" s="860"/>
      <c r="AZ38" s="860"/>
      <c r="BA38" s="860"/>
      <c r="BB38" s="860"/>
      <c r="BC38" s="860"/>
    </row>
    <row r="39" spans="1:55" s="137" customFormat="1" ht="37.950000000000003" customHeight="1" x14ac:dyDescent="0.25">
      <c r="A39" s="1057" t="s">
        <v>349</v>
      </c>
      <c r="B39" s="1058"/>
      <c r="C39" s="1059"/>
      <c r="D39" s="414">
        <f>+D41+D174+D202+D213+D70+D107+D145</f>
        <v>27671280.399999999</v>
      </c>
      <c r="E39" s="414">
        <f t="shared" ref="E39:AD39" si="1">+E41+E174+E202+E213+E70+E107+E145</f>
        <v>26248848.57</v>
      </c>
      <c r="F39" s="414">
        <f t="shared" si="1"/>
        <v>53920128.970000006</v>
      </c>
      <c r="G39" s="414">
        <f t="shared" si="1"/>
        <v>685110.17999999993</v>
      </c>
      <c r="H39" s="414">
        <f t="shared" si="1"/>
        <v>1348035.01</v>
      </c>
      <c r="I39" s="414">
        <f t="shared" si="1"/>
        <v>820430.41</v>
      </c>
      <c r="J39" s="414">
        <f t="shared" si="1"/>
        <v>2299984.92</v>
      </c>
      <c r="K39" s="414">
        <f t="shared" si="1"/>
        <v>1153815.03</v>
      </c>
      <c r="L39" s="414">
        <f t="shared" si="1"/>
        <v>890517.95333333337</v>
      </c>
      <c r="M39" s="414">
        <f t="shared" si="1"/>
        <v>2320546.2200000002</v>
      </c>
      <c r="N39" s="414">
        <f t="shared" si="1"/>
        <v>4407313.63</v>
      </c>
      <c r="O39" s="414">
        <f t="shared" si="1"/>
        <v>2594375.62</v>
      </c>
      <c r="P39" s="414">
        <f t="shared" si="1"/>
        <v>5084038.07</v>
      </c>
      <c r="Q39" s="414">
        <f t="shared" si="1"/>
        <v>2934548.3533333335</v>
      </c>
      <c r="R39" s="414">
        <f t="shared" si="1"/>
        <v>24538715.396666668</v>
      </c>
      <c r="S39" s="414">
        <f t="shared" si="1"/>
        <v>861397.12</v>
      </c>
      <c r="T39" s="414">
        <f t="shared" si="1"/>
        <v>4488376.8599999994</v>
      </c>
      <c r="U39" s="414">
        <f t="shared" si="1"/>
        <v>6070283.6200000001</v>
      </c>
      <c r="V39" s="414">
        <f t="shared" si="1"/>
        <v>6061975.1200000001</v>
      </c>
      <c r="W39" s="414">
        <f t="shared" si="1"/>
        <v>2336447.12</v>
      </c>
      <c r="X39" s="414">
        <f t="shared" si="1"/>
        <v>2988059.62</v>
      </c>
      <c r="Y39" s="414">
        <f t="shared" si="1"/>
        <v>1429058.22</v>
      </c>
      <c r="Z39" s="414">
        <f t="shared" si="1"/>
        <v>1400906.77</v>
      </c>
      <c r="AA39" s="414">
        <f t="shared" si="1"/>
        <v>1319862.8</v>
      </c>
      <c r="AB39" s="414">
        <f t="shared" si="1"/>
        <v>1111397.1200000001</v>
      </c>
      <c r="AC39" s="414">
        <f t="shared" si="1"/>
        <v>1313649.2033333331</v>
      </c>
      <c r="AD39" s="414">
        <f t="shared" si="1"/>
        <v>29381413.57333333</v>
      </c>
      <c r="AE39" s="861"/>
      <c r="AF39" s="861"/>
      <c r="AG39" s="861"/>
      <c r="AH39" s="861"/>
      <c r="AI39" s="861"/>
      <c r="AJ39" s="861"/>
      <c r="AK39" s="861"/>
      <c r="AL39" s="861"/>
      <c r="AM39" s="861"/>
      <c r="AN39" s="861"/>
      <c r="AO39" s="861"/>
      <c r="AP39" s="861"/>
      <c r="AQ39" s="861"/>
      <c r="AR39" s="861"/>
      <c r="AS39" s="861"/>
      <c r="AT39" s="861"/>
      <c r="AU39" s="861"/>
      <c r="AV39" s="861"/>
      <c r="AW39" s="861"/>
      <c r="AX39" s="861"/>
      <c r="AY39" s="861"/>
      <c r="AZ39" s="861"/>
      <c r="BA39" s="861"/>
      <c r="BB39" s="861"/>
      <c r="BC39" s="861"/>
    </row>
    <row r="40" spans="1:55" s="424" customFormat="1" ht="12" customHeight="1" x14ac:dyDescent="0.25">
      <c r="A40" s="420"/>
      <c r="B40" s="421"/>
      <c r="C40" s="422"/>
      <c r="D40" s="423"/>
      <c r="E40" s="423"/>
      <c r="F40" s="423">
        <v>8909796.3200000003</v>
      </c>
      <c r="G40" s="423"/>
      <c r="H40" s="423"/>
      <c r="I40" s="423"/>
      <c r="J40" s="423"/>
      <c r="K40" s="423"/>
      <c r="L40" s="423"/>
      <c r="M40" s="423"/>
      <c r="N40" s="423"/>
      <c r="O40" s="423"/>
      <c r="P40" s="423"/>
      <c r="Q40" s="423"/>
      <c r="R40" s="423"/>
      <c r="S40" s="423"/>
      <c r="T40" s="423"/>
      <c r="U40" s="423"/>
      <c r="V40" s="423"/>
      <c r="W40" s="423"/>
      <c r="X40" s="423"/>
      <c r="Y40" s="423"/>
      <c r="Z40" s="423"/>
      <c r="AA40" s="423"/>
      <c r="AB40" s="423"/>
      <c r="AC40" s="423"/>
      <c r="AD40" s="423"/>
    </row>
    <row r="41" spans="1:55" s="89" customFormat="1" ht="30" hidden="1" customHeight="1" x14ac:dyDescent="0.25">
      <c r="A41" s="415" t="s">
        <v>77</v>
      </c>
      <c r="B41" s="416"/>
      <c r="C41" s="417"/>
      <c r="D41" s="418">
        <f t="shared" ref="D41:AD41" si="2">+D43+D64</f>
        <v>3914155.7199999997</v>
      </c>
      <c r="E41" s="418">
        <f t="shared" si="2"/>
        <v>180000</v>
      </c>
      <c r="F41" s="418">
        <f t="shared" si="2"/>
        <v>4094155.7199999997</v>
      </c>
      <c r="G41" s="418">
        <f t="shared" si="2"/>
        <v>133958.12</v>
      </c>
      <c r="H41" s="418">
        <f t="shared" si="2"/>
        <v>141333.12</v>
      </c>
      <c r="I41" s="418">
        <f t="shared" si="2"/>
        <v>217869.16</v>
      </c>
      <c r="J41" s="418">
        <f t="shared" si="2"/>
        <v>199080</v>
      </c>
      <c r="K41" s="418">
        <f t="shared" si="2"/>
        <v>170741.03</v>
      </c>
      <c r="L41" s="418">
        <f t="shared" si="2"/>
        <v>178643.95333333334</v>
      </c>
      <c r="M41" s="418">
        <f t="shared" si="2"/>
        <v>174998.12</v>
      </c>
      <c r="N41" s="418">
        <f t="shared" si="2"/>
        <v>174998.12</v>
      </c>
      <c r="O41" s="418">
        <f t="shared" si="2"/>
        <v>174998.12</v>
      </c>
      <c r="P41" s="418">
        <f t="shared" si="2"/>
        <v>174998.12</v>
      </c>
      <c r="Q41" s="418">
        <f t="shared" si="2"/>
        <v>274431.45333333325</v>
      </c>
      <c r="R41" s="418">
        <f t="shared" si="2"/>
        <v>2016049.3166666667</v>
      </c>
      <c r="S41" s="418">
        <f t="shared" si="2"/>
        <v>174998.12</v>
      </c>
      <c r="T41" s="418">
        <f t="shared" si="2"/>
        <v>174998.12</v>
      </c>
      <c r="U41" s="418">
        <f t="shared" si="2"/>
        <v>174998.12</v>
      </c>
      <c r="V41" s="418">
        <f t="shared" si="2"/>
        <v>174998.12</v>
      </c>
      <c r="W41" s="418">
        <f t="shared" si="2"/>
        <v>174998.12</v>
      </c>
      <c r="X41" s="418">
        <f t="shared" si="2"/>
        <v>174998.12</v>
      </c>
      <c r="Y41" s="418">
        <f t="shared" si="2"/>
        <v>196873.12</v>
      </c>
      <c r="Z41" s="418">
        <f t="shared" si="2"/>
        <v>174998.12</v>
      </c>
      <c r="AA41" s="418">
        <f t="shared" si="2"/>
        <v>174998.12</v>
      </c>
      <c r="AB41" s="418">
        <f t="shared" si="2"/>
        <v>174998.12</v>
      </c>
      <c r="AC41" s="418">
        <f t="shared" si="2"/>
        <v>306250.20333333319</v>
      </c>
      <c r="AD41" s="418">
        <f t="shared" si="2"/>
        <v>2078106.4033333333</v>
      </c>
      <c r="AE41" s="860"/>
      <c r="AF41" s="860"/>
      <c r="AG41" s="860"/>
      <c r="AH41" s="860"/>
      <c r="AI41" s="860"/>
      <c r="AJ41" s="860"/>
      <c r="AK41" s="860"/>
      <c r="AL41" s="860"/>
      <c r="AM41" s="860"/>
      <c r="AN41" s="860"/>
      <c r="AO41" s="860"/>
      <c r="AP41" s="860"/>
      <c r="AQ41" s="860"/>
      <c r="AR41" s="860"/>
      <c r="AS41" s="860"/>
      <c r="AT41" s="860"/>
      <c r="AU41" s="860"/>
      <c r="AV41" s="860"/>
      <c r="AW41" s="860"/>
      <c r="AX41" s="860"/>
      <c r="AY41" s="860"/>
      <c r="AZ41" s="860"/>
      <c r="BA41" s="860"/>
      <c r="BB41" s="860"/>
      <c r="BC41" s="860"/>
    </row>
    <row r="42" spans="1:55" s="89" customFormat="1" ht="15.6" hidden="1" customHeight="1" x14ac:dyDescent="0.25">
      <c r="A42" s="1102" t="s">
        <v>52</v>
      </c>
      <c r="B42" s="1103"/>
      <c r="C42" s="1104"/>
      <c r="D42" s="130" t="e">
        <f>+S42+#REF!</f>
        <v>#REF!</v>
      </c>
      <c r="E42" s="130" t="e">
        <f>+T42+D42</f>
        <v>#REF!</v>
      </c>
      <c r="F42" s="132"/>
      <c r="G42" s="131"/>
      <c r="H42" s="131"/>
      <c r="I42" s="131"/>
      <c r="J42" s="131"/>
      <c r="K42" s="131"/>
      <c r="L42" s="131"/>
      <c r="M42" s="131"/>
      <c r="N42" s="131"/>
      <c r="O42" s="131"/>
      <c r="P42" s="131"/>
      <c r="Q42" s="131"/>
      <c r="R42" s="132"/>
      <c r="S42" s="133"/>
      <c r="T42" s="131"/>
      <c r="U42" s="131"/>
      <c r="V42" s="131"/>
      <c r="W42" s="131"/>
      <c r="X42" s="131"/>
      <c r="Y42" s="131"/>
      <c r="Z42" s="131"/>
      <c r="AA42" s="131"/>
      <c r="AB42" s="131"/>
      <c r="AC42" s="131"/>
      <c r="AD42" s="132"/>
      <c r="AE42" s="860"/>
      <c r="AF42" s="860"/>
      <c r="AG42" s="860"/>
      <c r="AH42" s="860"/>
      <c r="AI42" s="860"/>
      <c r="AJ42" s="860"/>
      <c r="AK42" s="860"/>
      <c r="AL42" s="860"/>
      <c r="AM42" s="860"/>
      <c r="AN42" s="860"/>
      <c r="AO42" s="860"/>
      <c r="AP42" s="860"/>
      <c r="AQ42" s="860"/>
      <c r="AR42" s="860"/>
      <c r="AS42" s="860"/>
      <c r="AT42" s="860"/>
      <c r="AU42" s="860"/>
      <c r="AV42" s="860"/>
      <c r="AW42" s="860"/>
      <c r="AX42" s="860"/>
      <c r="AY42" s="860"/>
      <c r="AZ42" s="860"/>
      <c r="BA42" s="860"/>
      <c r="BB42" s="860"/>
      <c r="BC42" s="860"/>
    </row>
    <row r="43" spans="1:55" ht="18.75" hidden="1" customHeight="1" x14ac:dyDescent="0.25">
      <c r="A43" s="781" t="s">
        <v>53</v>
      </c>
      <c r="B43" s="20"/>
      <c r="C43" s="102"/>
      <c r="D43" s="69">
        <f>+D44+D49</f>
        <v>3914155.7199999997</v>
      </c>
      <c r="E43" s="69">
        <f>+E44+E49</f>
        <v>0</v>
      </c>
      <c r="F43" s="69">
        <f>+D43+E43</f>
        <v>3914155.7199999997</v>
      </c>
      <c r="G43" s="69">
        <f>+G44</f>
        <v>133958.12</v>
      </c>
      <c r="H43" s="69">
        <f t="shared" ref="H43:K43" si="3">+H44</f>
        <v>133958.12</v>
      </c>
      <c r="I43" s="69">
        <f t="shared" si="3"/>
        <v>135244.16</v>
      </c>
      <c r="J43" s="69">
        <f t="shared" si="3"/>
        <v>109080</v>
      </c>
      <c r="K43" s="69">
        <f t="shared" si="3"/>
        <v>170741.03</v>
      </c>
      <c r="L43" s="69">
        <f>+L44</f>
        <v>178643.95333333334</v>
      </c>
      <c r="M43" s="69">
        <f t="shared" ref="M43:P43" si="4">+M44</f>
        <v>174998.12</v>
      </c>
      <c r="N43" s="69">
        <f t="shared" si="4"/>
        <v>174998.12</v>
      </c>
      <c r="O43" s="69">
        <f t="shared" si="4"/>
        <v>174998.12</v>
      </c>
      <c r="P43" s="69">
        <f t="shared" si="4"/>
        <v>174998.12</v>
      </c>
      <c r="Q43" s="69">
        <f>+Q44</f>
        <v>274431.45333333325</v>
      </c>
      <c r="R43" s="69">
        <f t="shared" ref="R43" si="5">+R44</f>
        <v>1836049.3166666667</v>
      </c>
      <c r="S43" s="69">
        <f>+S44</f>
        <v>174998.12</v>
      </c>
      <c r="T43" s="69">
        <f t="shared" ref="T43:W43" si="6">+T44</f>
        <v>174998.12</v>
      </c>
      <c r="U43" s="69">
        <f t="shared" si="6"/>
        <v>174998.12</v>
      </c>
      <c r="V43" s="69">
        <f t="shared" si="6"/>
        <v>174998.12</v>
      </c>
      <c r="W43" s="69">
        <f t="shared" si="6"/>
        <v>174998.12</v>
      </c>
      <c r="X43" s="69">
        <f>+X44</f>
        <v>174998.12</v>
      </c>
      <c r="Y43" s="69">
        <f t="shared" ref="Y43:AB43" si="7">+Y44</f>
        <v>196873.12</v>
      </c>
      <c r="Z43" s="69">
        <f t="shared" si="7"/>
        <v>174998.12</v>
      </c>
      <c r="AA43" s="69">
        <f t="shared" si="7"/>
        <v>174998.12</v>
      </c>
      <c r="AB43" s="69">
        <f t="shared" si="7"/>
        <v>174998.12</v>
      </c>
      <c r="AC43" s="69">
        <f>+AC44</f>
        <v>306250.20333333319</v>
      </c>
      <c r="AD43" s="69">
        <f t="shared" ref="AD43" si="8">+AD44</f>
        <v>2078106.4033333333</v>
      </c>
    </row>
    <row r="44" spans="1:55" ht="14.4" hidden="1" customHeight="1" x14ac:dyDescent="0.25">
      <c r="A44" s="1075" t="s">
        <v>76</v>
      </c>
      <c r="B44" s="40"/>
      <c r="C44" s="108"/>
      <c r="D44" s="70">
        <f>SUM(D46:D48)</f>
        <v>1504515.7199999997</v>
      </c>
      <c r="E44" s="70">
        <f>SUM(E46:E48)</f>
        <v>0</v>
      </c>
      <c r="F44" s="70">
        <f>+D44+E44</f>
        <v>1504515.7199999997</v>
      </c>
      <c r="G44" s="70">
        <f t="shared" ref="G44:AD44" si="9">+G45+G49</f>
        <v>133958.12</v>
      </c>
      <c r="H44" s="70">
        <f t="shared" si="9"/>
        <v>133958.12</v>
      </c>
      <c r="I44" s="70">
        <f t="shared" si="9"/>
        <v>135244.16</v>
      </c>
      <c r="J44" s="70">
        <f t="shared" si="9"/>
        <v>109080</v>
      </c>
      <c r="K44" s="70">
        <f t="shared" si="9"/>
        <v>170741.03</v>
      </c>
      <c r="L44" s="70">
        <f t="shared" si="9"/>
        <v>178643.95333333334</v>
      </c>
      <c r="M44" s="70">
        <f t="shared" si="9"/>
        <v>174998.12</v>
      </c>
      <c r="N44" s="70">
        <f t="shared" si="9"/>
        <v>174998.12</v>
      </c>
      <c r="O44" s="70">
        <f t="shared" si="9"/>
        <v>174998.12</v>
      </c>
      <c r="P44" s="70">
        <f t="shared" si="9"/>
        <v>174998.12</v>
      </c>
      <c r="Q44" s="70">
        <f t="shared" si="9"/>
        <v>274431.45333333325</v>
      </c>
      <c r="R44" s="70">
        <f t="shared" si="9"/>
        <v>1836049.3166666667</v>
      </c>
      <c r="S44" s="99">
        <f t="shared" si="9"/>
        <v>174998.12</v>
      </c>
      <c r="T44" s="70">
        <f t="shared" si="9"/>
        <v>174998.12</v>
      </c>
      <c r="U44" s="70">
        <f t="shared" si="9"/>
        <v>174998.12</v>
      </c>
      <c r="V44" s="70">
        <f t="shared" si="9"/>
        <v>174998.12</v>
      </c>
      <c r="W44" s="70">
        <f t="shared" si="9"/>
        <v>174998.12</v>
      </c>
      <c r="X44" s="70">
        <f t="shared" si="9"/>
        <v>174998.12</v>
      </c>
      <c r="Y44" s="70">
        <f t="shared" si="9"/>
        <v>196873.12</v>
      </c>
      <c r="Z44" s="70">
        <f t="shared" si="9"/>
        <v>174998.12</v>
      </c>
      <c r="AA44" s="70">
        <f t="shared" si="9"/>
        <v>174998.12</v>
      </c>
      <c r="AB44" s="70">
        <f t="shared" si="9"/>
        <v>174998.12</v>
      </c>
      <c r="AC44" s="70">
        <f t="shared" si="9"/>
        <v>306250.20333333319</v>
      </c>
      <c r="AD44" s="70">
        <f t="shared" si="9"/>
        <v>2078106.4033333333</v>
      </c>
    </row>
    <row r="45" spans="1:55" ht="15" hidden="1" x14ac:dyDescent="0.25">
      <c r="A45" s="1076"/>
      <c r="B45" s="52"/>
      <c r="C45" s="103"/>
      <c r="D45" s="72">
        <f t="shared" ref="D45:AD45" si="10">SUM(D46:D48)</f>
        <v>1504515.7199999997</v>
      </c>
      <c r="E45" s="72">
        <f t="shared" si="10"/>
        <v>0</v>
      </c>
      <c r="F45" s="72">
        <f t="shared" si="10"/>
        <v>1504515.7199999997</v>
      </c>
      <c r="G45" s="72">
        <f t="shared" si="10"/>
        <v>48918.12</v>
      </c>
      <c r="H45" s="72">
        <f t="shared" si="10"/>
        <v>48918.12</v>
      </c>
      <c r="I45" s="72">
        <f t="shared" si="10"/>
        <v>40204.160000000003</v>
      </c>
      <c r="J45" s="72">
        <f t="shared" si="10"/>
        <v>0</v>
      </c>
      <c r="K45" s="72">
        <f t="shared" si="10"/>
        <v>57661.03</v>
      </c>
      <c r="L45" s="72">
        <f t="shared" si="10"/>
        <v>65563.953333333338</v>
      </c>
      <c r="M45" s="72">
        <f t="shared" si="10"/>
        <v>61918.12</v>
      </c>
      <c r="N45" s="72">
        <f t="shared" si="10"/>
        <v>61918.12</v>
      </c>
      <c r="O45" s="72">
        <f t="shared" si="10"/>
        <v>61918.12</v>
      </c>
      <c r="P45" s="72">
        <f t="shared" si="10"/>
        <v>61918.12</v>
      </c>
      <c r="Q45" s="72">
        <f t="shared" si="10"/>
        <v>161351.45333333328</v>
      </c>
      <c r="R45" s="72">
        <f t="shared" si="10"/>
        <v>670289.31666666665</v>
      </c>
      <c r="S45" s="72">
        <f t="shared" si="10"/>
        <v>61918.12</v>
      </c>
      <c r="T45" s="72">
        <f t="shared" si="10"/>
        <v>61918.12</v>
      </c>
      <c r="U45" s="72">
        <f t="shared" si="10"/>
        <v>61918.12</v>
      </c>
      <c r="V45" s="72">
        <f t="shared" si="10"/>
        <v>61918.12</v>
      </c>
      <c r="W45" s="72">
        <f t="shared" si="10"/>
        <v>61918.12</v>
      </c>
      <c r="X45" s="72">
        <f t="shared" si="10"/>
        <v>61918.12</v>
      </c>
      <c r="Y45" s="72">
        <f t="shared" si="10"/>
        <v>83793.119999999981</v>
      </c>
      <c r="Z45" s="72">
        <f t="shared" si="10"/>
        <v>61918.12</v>
      </c>
      <c r="AA45" s="72">
        <f t="shared" si="10"/>
        <v>61918.12</v>
      </c>
      <c r="AB45" s="72">
        <f t="shared" si="10"/>
        <v>61918.12</v>
      </c>
      <c r="AC45" s="72">
        <f t="shared" si="10"/>
        <v>193170.20333333319</v>
      </c>
      <c r="AD45" s="72">
        <f t="shared" si="10"/>
        <v>834226.4033333332</v>
      </c>
    </row>
    <row r="46" spans="1:55" ht="15" hidden="1" x14ac:dyDescent="0.25">
      <c r="A46" s="1076"/>
      <c r="B46" s="39" t="s">
        <v>2</v>
      </c>
      <c r="C46" s="104" t="s">
        <v>54</v>
      </c>
      <c r="D46" s="23">
        <f>+R46+AD46</f>
        <v>742950.19333333313</v>
      </c>
      <c r="E46" s="23">
        <v>0</v>
      </c>
      <c r="F46" s="74">
        <f t="shared" ref="F46:F69" si="11">+D46+E46</f>
        <v>742950.19333333313</v>
      </c>
      <c r="G46" s="73">
        <f>+'F1,F2,F3,F4 (Desglose)'!H13</f>
        <v>28332.510000000002</v>
      </c>
      <c r="H46" s="73">
        <f>+'F1,F2,F3,F4 (Desglose)'!I13</f>
        <v>28332.510000000002</v>
      </c>
      <c r="I46" s="73">
        <f>+'F1,F2,F3,F4 (Desglose)'!J13</f>
        <v>23310.41</v>
      </c>
      <c r="J46" s="73">
        <f>+'F1,F2,F3,F4 (Desglose)'!K13</f>
        <v>0</v>
      </c>
      <c r="K46" s="73">
        <f>+'F1,F2,F3,F4 (Desglose)'!L13</f>
        <v>28332.510000000002</v>
      </c>
      <c r="L46" s="73">
        <f>+'F1,F2,F3,F4 (Desglose)'!M13</f>
        <v>30447.093333333331</v>
      </c>
      <c r="M46" s="73">
        <f>+'F1,F2,F3,F4 (Desglose)'!N13</f>
        <v>28332.510000000002</v>
      </c>
      <c r="N46" s="73">
        <f>+'F1,F2,F3,F4 (Desglose)'!O13</f>
        <v>28332.510000000002</v>
      </c>
      <c r="O46" s="73">
        <f>+'F1,F2,F3,F4 (Desglose)'!P13</f>
        <v>28332.510000000002</v>
      </c>
      <c r="P46" s="73">
        <f>+'F1,F2,F3,F4 (Desglose)'!Q13</f>
        <v>28332.510000000002</v>
      </c>
      <c r="Q46" s="73">
        <f>+'F1,F2,F3,F4 (Desglose)'!R13</f>
        <v>85982.509999999951</v>
      </c>
      <c r="R46" s="74">
        <f>SUM(G46:Q46)</f>
        <v>338067.58333333331</v>
      </c>
      <c r="S46" s="96">
        <f>+'[2]F1,F2,F3,F4'!$S$11</f>
        <v>28332.510000000002</v>
      </c>
      <c r="T46" s="73">
        <f>+'[2]F1,F2,F3,F4'!$S$11</f>
        <v>28332.510000000002</v>
      </c>
      <c r="U46" s="73">
        <f>+'[2]F1,F2,F3,F4'!$S$11</f>
        <v>28332.510000000002</v>
      </c>
      <c r="V46" s="73">
        <f>+'[2]F1,F2,F3,F4'!$S$11</f>
        <v>28332.510000000002</v>
      </c>
      <c r="W46" s="73">
        <f>+'[2]F1,F2,F3,F4'!$S$11</f>
        <v>28332.510000000002</v>
      </c>
      <c r="X46" s="73">
        <f>+'[2]F1,F2,F3,F4'!$S$11</f>
        <v>28332.510000000002</v>
      </c>
      <c r="Y46" s="73">
        <f>+'[2]F1,F2,F3,F4'!$Y$11</f>
        <v>41020.00999999998</v>
      </c>
      <c r="Z46" s="73">
        <f>+'[2]F1,F2,F3,F4'!$S$11</f>
        <v>28332.510000000002</v>
      </c>
      <c r="AA46" s="73">
        <f>+'[2]F1,F2,F3,F4'!$S$11</f>
        <v>28332.510000000002</v>
      </c>
      <c r="AB46" s="73">
        <f>+'[2]F1,F2,F3,F4'!$S$11</f>
        <v>28332.510000000002</v>
      </c>
      <c r="AC46" s="73">
        <f>+'[2]F1,F2,F3,F4'!$AC$11</f>
        <v>108870.00999999986</v>
      </c>
      <c r="AD46" s="74">
        <f>SUM(S46:AC46)</f>
        <v>404882.60999999987</v>
      </c>
    </row>
    <row r="47" spans="1:55" ht="15" hidden="1" x14ac:dyDescent="0.25">
      <c r="A47" s="1076"/>
      <c r="B47" s="774" t="s">
        <v>3</v>
      </c>
      <c r="C47" s="104" t="s">
        <v>55</v>
      </c>
      <c r="D47" s="23">
        <f>+R47+AD47</f>
        <v>531822.6166666667</v>
      </c>
      <c r="E47" s="23">
        <v>0</v>
      </c>
      <c r="F47" s="74">
        <f t="shared" si="11"/>
        <v>531822.6166666667</v>
      </c>
      <c r="G47" s="73">
        <f>+'F1,F2,F3,F4 (Desglose)'!H23</f>
        <v>20585.61</v>
      </c>
      <c r="H47" s="73">
        <f>+'F1,F2,F3,F4 (Desglose)'!I23</f>
        <v>20585.61</v>
      </c>
      <c r="I47" s="73">
        <f>+'F1,F2,F3,F4 (Desglose)'!J23</f>
        <v>16893.75</v>
      </c>
      <c r="J47" s="73">
        <f>+'F1,F2,F3,F4 (Desglose)'!K23</f>
        <v>0</v>
      </c>
      <c r="K47" s="73">
        <f>+'F1,F2,F3,F4 (Desglose)'!L23</f>
        <v>20585.61</v>
      </c>
      <c r="L47" s="73">
        <f>+'F1,F2,F3,F4 (Desglose)'!M23</f>
        <v>22116.86</v>
      </c>
      <c r="M47" s="73">
        <f>+'F1,F2,F3,F4 (Desglose)'!N23</f>
        <v>20585.61</v>
      </c>
      <c r="N47" s="73">
        <f>+'F1,F2,F3,F4 (Desglose)'!O23</f>
        <v>20585.61</v>
      </c>
      <c r="O47" s="73">
        <f>+'F1,F2,F3,F4 (Desglose)'!P23</f>
        <v>20585.61</v>
      </c>
      <c r="P47" s="73">
        <f>+'F1,F2,F3,F4 (Desglose)'!Q23</f>
        <v>20585.61</v>
      </c>
      <c r="Q47" s="73">
        <f>+'F1,F2,F3,F4 (Desglose)'!R23</f>
        <v>62368.943333333336</v>
      </c>
      <c r="R47" s="74">
        <f>SUM(G47:Q47)</f>
        <v>245478.82333333333</v>
      </c>
      <c r="S47" s="96">
        <f>+'[2]F1,F2,F3,F4'!$S$24</f>
        <v>20585.61</v>
      </c>
      <c r="T47" s="73">
        <f>+'[2]F1,F2,F3,F4'!$S$24</f>
        <v>20585.61</v>
      </c>
      <c r="U47" s="73">
        <f>+'[2]F1,F2,F3,F4'!$S$24</f>
        <v>20585.61</v>
      </c>
      <c r="V47" s="73">
        <f>+'[2]F1,F2,F3,F4'!$S$24</f>
        <v>20585.61</v>
      </c>
      <c r="W47" s="73">
        <f>+'[2]F1,F2,F3,F4'!$S$24</f>
        <v>20585.61</v>
      </c>
      <c r="X47" s="73">
        <f>+'[2]F1,F2,F3,F4'!$S$24</f>
        <v>20585.61</v>
      </c>
      <c r="Y47" s="73">
        <f>+'[2]F1,F2,F3,F4'!$Y$24</f>
        <v>29773.11</v>
      </c>
      <c r="Z47" s="73">
        <f>+'[2]F1,F2,F3,F4'!$S$24</f>
        <v>20585.61</v>
      </c>
      <c r="AA47" s="73">
        <f>+'[2]F1,F2,F3,F4'!$S$24</f>
        <v>20585.61</v>
      </c>
      <c r="AB47" s="73">
        <f>+'[2]F1,F2,F3,F4'!$S$24</f>
        <v>20585.61</v>
      </c>
      <c r="AC47" s="73">
        <f>+'[2]F1,F2,F3,F4'!$AC$24</f>
        <v>71300.193333333329</v>
      </c>
      <c r="AD47" s="74">
        <f t="shared" ref="AD47:AD63" si="12">SUM(S47:AC47)</f>
        <v>286343.79333333333</v>
      </c>
    </row>
    <row r="48" spans="1:55" s="4" customFormat="1" ht="15" hidden="1" x14ac:dyDescent="0.25">
      <c r="A48" s="1076"/>
      <c r="B48" s="774" t="s">
        <v>4</v>
      </c>
      <c r="C48" s="2" t="s">
        <v>75</v>
      </c>
      <c r="D48" s="23">
        <f>+R48+AD48</f>
        <v>229742.91</v>
      </c>
      <c r="E48" s="23">
        <v>0</v>
      </c>
      <c r="F48" s="74">
        <f t="shared" si="11"/>
        <v>229742.91</v>
      </c>
      <c r="G48" s="73">
        <f>+'F1,F2,F3,F4 (Desglose)'!H33</f>
        <v>0</v>
      </c>
      <c r="H48" s="73">
        <f>+'F1,F2,F3,F4 (Desglose)'!I33</f>
        <v>0</v>
      </c>
      <c r="I48" s="73">
        <f>+'F1,F2,F3,F4 (Desglose)'!J33</f>
        <v>0</v>
      </c>
      <c r="J48" s="73">
        <f>+'F1,F2,F3,F4 (Desglose)'!K33</f>
        <v>0</v>
      </c>
      <c r="K48" s="73">
        <f>+'F1,F2,F3,F4 (Desglose)'!L33</f>
        <v>8742.91</v>
      </c>
      <c r="L48" s="73">
        <f>+'F1,F2,F3,F4 (Desglose)'!M33</f>
        <v>13000</v>
      </c>
      <c r="M48" s="73">
        <f>+'F1,F2,F3,F4 (Desglose)'!N33</f>
        <v>13000</v>
      </c>
      <c r="N48" s="73">
        <f>+'F1,F2,F3,F4 (Desglose)'!O33</f>
        <v>13000</v>
      </c>
      <c r="O48" s="73">
        <f>+'F1,F2,F3,F4 (Desglose)'!P33</f>
        <v>13000</v>
      </c>
      <c r="P48" s="73">
        <f>+'F1,F2,F3,F4 (Desglose)'!Q33</f>
        <v>13000</v>
      </c>
      <c r="Q48" s="73">
        <f>+'F1,F2,F3,F4 (Desglose)'!R33</f>
        <v>13000</v>
      </c>
      <c r="R48" s="74">
        <f>SUM(G48:Q48)</f>
        <v>86742.91</v>
      </c>
      <c r="S48" s="73">
        <f>+'F1,F2,F3,F4 (Desglose)'!T33</f>
        <v>13000</v>
      </c>
      <c r="T48" s="73">
        <f>+'F1,F2,F3,F4 (Desglose)'!U33</f>
        <v>13000</v>
      </c>
      <c r="U48" s="73">
        <f>+'F1,F2,F3,F4 (Desglose)'!V33</f>
        <v>13000</v>
      </c>
      <c r="V48" s="73">
        <f>+'F1,F2,F3,F4 (Desglose)'!W33</f>
        <v>13000</v>
      </c>
      <c r="W48" s="73">
        <f>+'F1,F2,F3,F4 (Desglose)'!X33</f>
        <v>13000</v>
      </c>
      <c r="X48" s="73">
        <f>+'F1,F2,F3,F4 (Desglose)'!Y33</f>
        <v>13000</v>
      </c>
      <c r="Y48" s="73">
        <f>+'F1,F2,F3,F4 (Desglose)'!Z33</f>
        <v>13000</v>
      </c>
      <c r="Z48" s="73">
        <f>+'F1,F2,F3,F4 (Desglose)'!AA33</f>
        <v>13000</v>
      </c>
      <c r="AA48" s="73">
        <f>+'F1,F2,F3,F4 (Desglose)'!AB33</f>
        <v>13000</v>
      </c>
      <c r="AB48" s="73">
        <f>+'F1,F2,F3,F4 (Desglose)'!AC33</f>
        <v>13000</v>
      </c>
      <c r="AC48" s="73">
        <f>+'F1,F2,F3,F4 (Desglose)'!AD33</f>
        <v>13000</v>
      </c>
      <c r="AD48" s="74">
        <f t="shared" si="12"/>
        <v>143000</v>
      </c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9"/>
      <c r="AZ48" s="9"/>
      <c r="BA48" s="9"/>
      <c r="BB48" s="9"/>
      <c r="BC48" s="9"/>
    </row>
    <row r="49" spans="1:55" ht="15" hidden="1" x14ac:dyDescent="0.25">
      <c r="A49" s="1094" t="s">
        <v>78</v>
      </c>
      <c r="B49" s="391"/>
      <c r="C49" s="403"/>
      <c r="D49" s="404">
        <f>SUM(D50:D63)</f>
        <v>2409640</v>
      </c>
      <c r="E49" s="404">
        <f>SUM(E50:E63)</f>
        <v>0</v>
      </c>
      <c r="F49" s="404">
        <f t="shared" si="11"/>
        <v>2409640</v>
      </c>
      <c r="G49" s="404">
        <f>SUM(G50:G63)</f>
        <v>85040</v>
      </c>
      <c r="H49" s="404">
        <f t="shared" ref="H49:AD49" si="13">SUM(H50:H63)</f>
        <v>85040</v>
      </c>
      <c r="I49" s="404">
        <f t="shared" si="13"/>
        <v>95040</v>
      </c>
      <c r="J49" s="404">
        <f t="shared" si="13"/>
        <v>109080</v>
      </c>
      <c r="K49" s="404">
        <f t="shared" si="13"/>
        <v>113080</v>
      </c>
      <c r="L49" s="404">
        <f t="shared" si="13"/>
        <v>113080</v>
      </c>
      <c r="M49" s="404">
        <f t="shared" si="13"/>
        <v>113080</v>
      </c>
      <c r="N49" s="404">
        <f t="shared" si="13"/>
        <v>113080</v>
      </c>
      <c r="O49" s="404">
        <f t="shared" si="13"/>
        <v>113080</v>
      </c>
      <c r="P49" s="404">
        <f t="shared" si="13"/>
        <v>113080</v>
      </c>
      <c r="Q49" s="404">
        <f t="shared" si="13"/>
        <v>113080</v>
      </c>
      <c r="R49" s="404">
        <f t="shared" si="13"/>
        <v>1165760</v>
      </c>
      <c r="S49" s="405">
        <f t="shared" si="13"/>
        <v>113080</v>
      </c>
      <c r="T49" s="404">
        <f t="shared" si="13"/>
        <v>113080</v>
      </c>
      <c r="U49" s="404">
        <f t="shared" si="13"/>
        <v>113080</v>
      </c>
      <c r="V49" s="404">
        <f t="shared" si="13"/>
        <v>113080</v>
      </c>
      <c r="W49" s="404">
        <f t="shared" si="13"/>
        <v>113080</v>
      </c>
      <c r="X49" s="404">
        <f t="shared" si="13"/>
        <v>113080</v>
      </c>
      <c r="Y49" s="404">
        <f t="shared" si="13"/>
        <v>113080</v>
      </c>
      <c r="Z49" s="404">
        <f t="shared" si="13"/>
        <v>113080</v>
      </c>
      <c r="AA49" s="404">
        <f t="shared" si="13"/>
        <v>113080</v>
      </c>
      <c r="AB49" s="404">
        <f t="shared" si="13"/>
        <v>113080</v>
      </c>
      <c r="AC49" s="404">
        <f t="shared" si="13"/>
        <v>113080</v>
      </c>
      <c r="AD49" s="404">
        <f t="shared" si="13"/>
        <v>1243880</v>
      </c>
    </row>
    <row r="50" spans="1:55" ht="15" hidden="1" x14ac:dyDescent="0.25">
      <c r="A50" s="1105"/>
      <c r="B50" s="1" t="s">
        <v>2</v>
      </c>
      <c r="C50" s="2" t="s">
        <v>56</v>
      </c>
      <c r="D50" s="23">
        <f>+R50+AD50</f>
        <v>220000</v>
      </c>
      <c r="E50" s="23">
        <v>0</v>
      </c>
      <c r="F50" s="74">
        <f t="shared" si="11"/>
        <v>220000</v>
      </c>
      <c r="G50" s="73">
        <v>10000</v>
      </c>
      <c r="H50" s="73">
        <v>10000</v>
      </c>
      <c r="I50" s="73">
        <v>10000</v>
      </c>
      <c r="J50" s="73">
        <v>10000</v>
      </c>
      <c r="K50" s="73">
        <v>10000</v>
      </c>
      <c r="L50" s="73">
        <v>10000</v>
      </c>
      <c r="M50" s="73">
        <v>10000</v>
      </c>
      <c r="N50" s="73">
        <v>10000</v>
      </c>
      <c r="O50" s="73">
        <v>10000</v>
      </c>
      <c r="P50" s="73">
        <v>10000</v>
      </c>
      <c r="Q50" s="73">
        <v>10000</v>
      </c>
      <c r="R50" s="74">
        <f t="shared" ref="R50:R63" si="14">SUM(G50:Q50)</f>
        <v>110000</v>
      </c>
      <c r="S50" s="96">
        <v>10000</v>
      </c>
      <c r="T50" s="73">
        <v>10000</v>
      </c>
      <c r="U50" s="73">
        <v>10000</v>
      </c>
      <c r="V50" s="73">
        <v>10000</v>
      </c>
      <c r="W50" s="73">
        <v>10000</v>
      </c>
      <c r="X50" s="73">
        <v>10000</v>
      </c>
      <c r="Y50" s="73">
        <v>10000</v>
      </c>
      <c r="Z50" s="73">
        <v>10000</v>
      </c>
      <c r="AA50" s="73">
        <v>10000</v>
      </c>
      <c r="AB50" s="73">
        <v>10000</v>
      </c>
      <c r="AC50" s="73">
        <v>10000</v>
      </c>
      <c r="AD50" s="74">
        <f t="shared" si="12"/>
        <v>110000</v>
      </c>
    </row>
    <row r="51" spans="1:55" ht="30" hidden="1" x14ac:dyDescent="0.25">
      <c r="A51" s="1105"/>
      <c r="B51" s="1" t="s">
        <v>3</v>
      </c>
      <c r="C51" s="47" t="s">
        <v>560</v>
      </c>
      <c r="D51" s="23">
        <f t="shared" ref="D51:D63" si="15">+R51+AD51</f>
        <v>420000</v>
      </c>
      <c r="E51" s="23">
        <v>0</v>
      </c>
      <c r="F51" s="74">
        <f t="shared" si="11"/>
        <v>420000</v>
      </c>
      <c r="G51" s="73">
        <v>10000</v>
      </c>
      <c r="H51" s="73">
        <v>10000</v>
      </c>
      <c r="I51" s="73">
        <v>20000</v>
      </c>
      <c r="J51" s="73">
        <v>20000</v>
      </c>
      <c r="K51" s="73">
        <v>20000</v>
      </c>
      <c r="L51" s="73">
        <v>20000</v>
      </c>
      <c r="M51" s="73">
        <v>20000</v>
      </c>
      <c r="N51" s="73">
        <v>20000</v>
      </c>
      <c r="O51" s="73">
        <v>20000</v>
      </c>
      <c r="P51" s="73">
        <v>20000</v>
      </c>
      <c r="Q51" s="73">
        <v>20000</v>
      </c>
      <c r="R51" s="74">
        <f t="shared" si="14"/>
        <v>200000</v>
      </c>
      <c r="S51" s="96">
        <v>20000</v>
      </c>
      <c r="T51" s="73">
        <v>20000</v>
      </c>
      <c r="U51" s="73">
        <v>20000</v>
      </c>
      <c r="V51" s="73">
        <v>20000</v>
      </c>
      <c r="W51" s="73">
        <v>20000</v>
      </c>
      <c r="X51" s="73">
        <v>20000</v>
      </c>
      <c r="Y51" s="73">
        <v>20000</v>
      </c>
      <c r="Z51" s="73">
        <v>20000</v>
      </c>
      <c r="AA51" s="73">
        <v>20000</v>
      </c>
      <c r="AB51" s="73">
        <v>20000</v>
      </c>
      <c r="AC51" s="73">
        <v>20000</v>
      </c>
      <c r="AD51" s="74">
        <f t="shared" si="12"/>
        <v>220000</v>
      </c>
    </row>
    <row r="52" spans="1:55" ht="15" hidden="1" x14ac:dyDescent="0.25">
      <c r="A52" s="1105"/>
      <c r="B52" s="1" t="s">
        <v>4</v>
      </c>
      <c r="C52" s="3" t="s">
        <v>57</v>
      </c>
      <c r="D52" s="23">
        <f t="shared" si="15"/>
        <v>220000</v>
      </c>
      <c r="E52" s="23">
        <v>0</v>
      </c>
      <c r="F52" s="74">
        <f t="shared" si="11"/>
        <v>220000</v>
      </c>
      <c r="G52" s="73">
        <v>10000</v>
      </c>
      <c r="H52" s="73">
        <v>10000</v>
      </c>
      <c r="I52" s="73">
        <v>10000</v>
      </c>
      <c r="J52" s="73">
        <v>10000</v>
      </c>
      <c r="K52" s="73">
        <v>10000</v>
      </c>
      <c r="L52" s="73">
        <v>10000</v>
      </c>
      <c r="M52" s="73">
        <v>10000</v>
      </c>
      <c r="N52" s="73">
        <v>10000</v>
      </c>
      <c r="O52" s="73">
        <v>10000</v>
      </c>
      <c r="P52" s="73">
        <v>10000</v>
      </c>
      <c r="Q52" s="73">
        <v>10000</v>
      </c>
      <c r="R52" s="74">
        <f t="shared" si="14"/>
        <v>110000</v>
      </c>
      <c r="S52" s="96">
        <v>10000</v>
      </c>
      <c r="T52" s="73">
        <v>10000</v>
      </c>
      <c r="U52" s="73">
        <v>10000</v>
      </c>
      <c r="V52" s="73">
        <v>10000</v>
      </c>
      <c r="W52" s="73">
        <v>10000</v>
      </c>
      <c r="X52" s="73">
        <v>10000</v>
      </c>
      <c r="Y52" s="73">
        <v>10000</v>
      </c>
      <c r="Z52" s="73">
        <v>10000</v>
      </c>
      <c r="AA52" s="73">
        <v>10000</v>
      </c>
      <c r="AB52" s="73">
        <v>10000</v>
      </c>
      <c r="AC52" s="73">
        <v>10000</v>
      </c>
      <c r="AD52" s="74">
        <f t="shared" si="12"/>
        <v>110000</v>
      </c>
    </row>
    <row r="53" spans="1:55" ht="15" hidden="1" x14ac:dyDescent="0.25">
      <c r="A53" s="1105"/>
      <c r="B53" s="1" t="s">
        <v>8</v>
      </c>
      <c r="C53" s="3" t="s">
        <v>58</v>
      </c>
      <c r="D53" s="23">
        <f t="shared" si="15"/>
        <v>220000</v>
      </c>
      <c r="E53" s="23">
        <v>0</v>
      </c>
      <c r="F53" s="74">
        <f t="shared" si="11"/>
        <v>220000</v>
      </c>
      <c r="G53" s="73">
        <v>10000</v>
      </c>
      <c r="H53" s="73">
        <v>10000</v>
      </c>
      <c r="I53" s="73">
        <v>10000</v>
      </c>
      <c r="J53" s="73">
        <v>10000</v>
      </c>
      <c r="K53" s="73">
        <v>10000</v>
      </c>
      <c r="L53" s="73">
        <v>10000</v>
      </c>
      <c r="M53" s="73">
        <v>10000</v>
      </c>
      <c r="N53" s="73">
        <v>10000</v>
      </c>
      <c r="O53" s="73">
        <v>10000</v>
      </c>
      <c r="P53" s="73">
        <v>10000</v>
      </c>
      <c r="Q53" s="73">
        <v>10000</v>
      </c>
      <c r="R53" s="74">
        <f t="shared" si="14"/>
        <v>110000</v>
      </c>
      <c r="S53" s="96">
        <v>10000</v>
      </c>
      <c r="T53" s="73">
        <v>10000</v>
      </c>
      <c r="U53" s="73">
        <v>10000</v>
      </c>
      <c r="V53" s="73">
        <v>10000</v>
      </c>
      <c r="W53" s="73">
        <v>10000</v>
      </c>
      <c r="X53" s="73">
        <v>10000</v>
      </c>
      <c r="Y53" s="73">
        <v>10000</v>
      </c>
      <c r="Z53" s="73">
        <v>10000</v>
      </c>
      <c r="AA53" s="73">
        <v>10000</v>
      </c>
      <c r="AB53" s="73">
        <v>10000</v>
      </c>
      <c r="AC53" s="73">
        <v>10000</v>
      </c>
      <c r="AD53" s="74">
        <f t="shared" si="12"/>
        <v>110000</v>
      </c>
    </row>
    <row r="54" spans="1:55" ht="15" hidden="1" x14ac:dyDescent="0.25">
      <c r="A54" s="1105"/>
      <c r="B54" s="1" t="s">
        <v>9</v>
      </c>
      <c r="C54" s="3" t="s">
        <v>59</v>
      </c>
      <c r="D54" s="23">
        <f t="shared" si="15"/>
        <v>220000</v>
      </c>
      <c r="E54" s="23">
        <v>0</v>
      </c>
      <c r="F54" s="74">
        <f t="shared" si="11"/>
        <v>220000</v>
      </c>
      <c r="G54" s="73">
        <v>10000</v>
      </c>
      <c r="H54" s="73">
        <v>10000</v>
      </c>
      <c r="I54" s="73">
        <v>10000</v>
      </c>
      <c r="J54" s="73">
        <v>10000</v>
      </c>
      <c r="K54" s="73">
        <v>10000</v>
      </c>
      <c r="L54" s="73">
        <v>10000</v>
      </c>
      <c r="M54" s="73">
        <v>10000</v>
      </c>
      <c r="N54" s="73">
        <v>10000</v>
      </c>
      <c r="O54" s="73">
        <v>10000</v>
      </c>
      <c r="P54" s="73">
        <v>10000</v>
      </c>
      <c r="Q54" s="73">
        <v>10000</v>
      </c>
      <c r="R54" s="74">
        <f t="shared" si="14"/>
        <v>110000</v>
      </c>
      <c r="S54" s="96">
        <v>10000</v>
      </c>
      <c r="T54" s="73">
        <v>10000</v>
      </c>
      <c r="U54" s="73">
        <v>10000</v>
      </c>
      <c r="V54" s="73">
        <v>10000</v>
      </c>
      <c r="W54" s="73">
        <v>10000</v>
      </c>
      <c r="X54" s="73">
        <v>10000</v>
      </c>
      <c r="Y54" s="73">
        <v>10000</v>
      </c>
      <c r="Z54" s="73">
        <v>10000</v>
      </c>
      <c r="AA54" s="73">
        <v>10000</v>
      </c>
      <c r="AB54" s="73">
        <v>10000</v>
      </c>
      <c r="AC54" s="73">
        <v>10000</v>
      </c>
      <c r="AD54" s="74">
        <f t="shared" si="12"/>
        <v>110000</v>
      </c>
    </row>
    <row r="55" spans="1:55" ht="15" hidden="1" x14ac:dyDescent="0.25">
      <c r="A55" s="1105"/>
      <c r="B55" s="1" t="s">
        <v>10</v>
      </c>
      <c r="C55" s="3" t="s">
        <v>60</v>
      </c>
      <c r="D55" s="23">
        <f t="shared" si="15"/>
        <v>121000</v>
      </c>
      <c r="E55" s="23">
        <v>0</v>
      </c>
      <c r="F55" s="74">
        <f t="shared" si="11"/>
        <v>121000</v>
      </c>
      <c r="G55" s="73">
        <v>5500</v>
      </c>
      <c r="H55" s="73">
        <v>5500</v>
      </c>
      <c r="I55" s="73">
        <v>5500</v>
      </c>
      <c r="J55" s="73">
        <v>5500</v>
      </c>
      <c r="K55" s="73">
        <v>5500</v>
      </c>
      <c r="L55" s="73">
        <v>5500</v>
      </c>
      <c r="M55" s="73">
        <v>5500</v>
      </c>
      <c r="N55" s="73">
        <v>5500</v>
      </c>
      <c r="O55" s="73">
        <v>5500</v>
      </c>
      <c r="P55" s="73">
        <v>5500</v>
      </c>
      <c r="Q55" s="73">
        <v>5500</v>
      </c>
      <c r="R55" s="74">
        <f t="shared" si="14"/>
        <v>60500</v>
      </c>
      <c r="S55" s="96">
        <v>5500</v>
      </c>
      <c r="T55" s="73">
        <v>5500</v>
      </c>
      <c r="U55" s="73">
        <v>5500</v>
      </c>
      <c r="V55" s="73">
        <v>5500</v>
      </c>
      <c r="W55" s="73">
        <v>5500</v>
      </c>
      <c r="X55" s="73">
        <v>5500</v>
      </c>
      <c r="Y55" s="73">
        <v>5500</v>
      </c>
      <c r="Z55" s="73">
        <v>5500</v>
      </c>
      <c r="AA55" s="73">
        <v>5500</v>
      </c>
      <c r="AB55" s="73">
        <v>5500</v>
      </c>
      <c r="AC55" s="73">
        <v>5500</v>
      </c>
      <c r="AD55" s="74">
        <f t="shared" si="12"/>
        <v>60500</v>
      </c>
    </row>
    <row r="56" spans="1:55" ht="30" hidden="1" x14ac:dyDescent="0.25">
      <c r="A56" s="1105"/>
      <c r="B56" s="1" t="s">
        <v>67</v>
      </c>
      <c r="C56" s="3" t="s">
        <v>561</v>
      </c>
      <c r="D56" s="23">
        <f t="shared" si="15"/>
        <v>176880</v>
      </c>
      <c r="E56" s="23">
        <v>0</v>
      </c>
      <c r="F56" s="74">
        <f t="shared" si="11"/>
        <v>176880</v>
      </c>
      <c r="G56" s="73">
        <v>8040</v>
      </c>
      <c r="H56" s="73">
        <v>8040</v>
      </c>
      <c r="I56" s="73">
        <v>8040</v>
      </c>
      <c r="J56" s="73">
        <v>8040</v>
      </c>
      <c r="K56" s="73">
        <v>8040</v>
      </c>
      <c r="L56" s="73">
        <v>8040</v>
      </c>
      <c r="M56" s="73">
        <v>8040</v>
      </c>
      <c r="N56" s="73">
        <v>8040</v>
      </c>
      <c r="O56" s="73">
        <v>8040</v>
      </c>
      <c r="P56" s="73">
        <v>8040</v>
      </c>
      <c r="Q56" s="73">
        <v>8040</v>
      </c>
      <c r="R56" s="74">
        <f t="shared" si="14"/>
        <v>88440</v>
      </c>
      <c r="S56" s="96">
        <v>8040</v>
      </c>
      <c r="T56" s="73">
        <v>8040</v>
      </c>
      <c r="U56" s="73">
        <v>8040</v>
      </c>
      <c r="V56" s="73">
        <v>8040</v>
      </c>
      <c r="W56" s="73">
        <v>8040</v>
      </c>
      <c r="X56" s="73">
        <v>8040</v>
      </c>
      <c r="Y56" s="73">
        <v>8040</v>
      </c>
      <c r="Z56" s="73">
        <v>8040</v>
      </c>
      <c r="AA56" s="73">
        <v>8040</v>
      </c>
      <c r="AB56" s="73">
        <v>8040</v>
      </c>
      <c r="AC56" s="73">
        <v>8040</v>
      </c>
      <c r="AD56" s="74">
        <f t="shared" si="12"/>
        <v>88440</v>
      </c>
    </row>
    <row r="57" spans="1:55" ht="15" hidden="1" x14ac:dyDescent="0.25">
      <c r="A57" s="1105"/>
      <c r="B57" s="1" t="s">
        <v>68</v>
      </c>
      <c r="C57" s="2" t="s">
        <v>61</v>
      </c>
      <c r="D57" s="23">
        <f t="shared" si="15"/>
        <v>77000</v>
      </c>
      <c r="E57" s="23">
        <v>0</v>
      </c>
      <c r="F57" s="74">
        <f t="shared" si="11"/>
        <v>77000</v>
      </c>
      <c r="G57" s="73">
        <v>3500</v>
      </c>
      <c r="H57" s="73">
        <v>3500</v>
      </c>
      <c r="I57" s="73">
        <v>3500</v>
      </c>
      <c r="J57" s="73">
        <v>3500</v>
      </c>
      <c r="K57" s="73">
        <v>3500</v>
      </c>
      <c r="L57" s="73">
        <v>3500</v>
      </c>
      <c r="M57" s="73">
        <v>3500</v>
      </c>
      <c r="N57" s="73">
        <v>3500</v>
      </c>
      <c r="O57" s="73">
        <v>3500</v>
      </c>
      <c r="P57" s="73">
        <v>3500</v>
      </c>
      <c r="Q57" s="73">
        <v>3500</v>
      </c>
      <c r="R57" s="74">
        <f t="shared" si="14"/>
        <v>38500</v>
      </c>
      <c r="S57" s="96">
        <v>3500</v>
      </c>
      <c r="T57" s="73">
        <v>3500</v>
      </c>
      <c r="U57" s="73">
        <v>3500</v>
      </c>
      <c r="V57" s="73">
        <v>3500</v>
      </c>
      <c r="W57" s="73">
        <v>3500</v>
      </c>
      <c r="X57" s="73">
        <v>3500</v>
      </c>
      <c r="Y57" s="73">
        <v>3500</v>
      </c>
      <c r="Z57" s="73">
        <v>3500</v>
      </c>
      <c r="AA57" s="73">
        <v>3500</v>
      </c>
      <c r="AB57" s="73">
        <v>3500</v>
      </c>
      <c r="AC57" s="73">
        <v>3500</v>
      </c>
      <c r="AD57" s="74">
        <f t="shared" si="12"/>
        <v>38500</v>
      </c>
    </row>
    <row r="58" spans="1:55" ht="15" hidden="1" x14ac:dyDescent="0.25">
      <c r="A58" s="1105"/>
      <c r="B58" s="1" t="s">
        <v>69</v>
      </c>
      <c r="C58" s="2" t="s">
        <v>62</v>
      </c>
      <c r="D58" s="23">
        <f t="shared" si="15"/>
        <v>121000</v>
      </c>
      <c r="E58" s="23">
        <v>0</v>
      </c>
      <c r="F58" s="74">
        <f t="shared" si="11"/>
        <v>121000</v>
      </c>
      <c r="G58" s="73">
        <v>5500</v>
      </c>
      <c r="H58" s="73">
        <v>5500</v>
      </c>
      <c r="I58" s="73">
        <v>5500</v>
      </c>
      <c r="J58" s="73">
        <v>5500</v>
      </c>
      <c r="K58" s="73">
        <v>5500</v>
      </c>
      <c r="L58" s="73">
        <v>5500</v>
      </c>
      <c r="M58" s="73">
        <v>5500</v>
      </c>
      <c r="N58" s="73">
        <v>5500</v>
      </c>
      <c r="O58" s="73">
        <v>5500</v>
      </c>
      <c r="P58" s="73">
        <v>5500</v>
      </c>
      <c r="Q58" s="73">
        <v>5500</v>
      </c>
      <c r="R58" s="74">
        <f t="shared" si="14"/>
        <v>60500</v>
      </c>
      <c r="S58" s="96">
        <v>5500</v>
      </c>
      <c r="T58" s="73">
        <v>5500</v>
      </c>
      <c r="U58" s="73">
        <v>5500</v>
      </c>
      <c r="V58" s="73">
        <v>5500</v>
      </c>
      <c r="W58" s="73">
        <v>5500</v>
      </c>
      <c r="X58" s="73">
        <v>5500</v>
      </c>
      <c r="Y58" s="73">
        <v>5500</v>
      </c>
      <c r="Z58" s="73">
        <v>5500</v>
      </c>
      <c r="AA58" s="73">
        <v>5500</v>
      </c>
      <c r="AB58" s="73">
        <v>5500</v>
      </c>
      <c r="AC58" s="73">
        <v>5500</v>
      </c>
      <c r="AD58" s="74">
        <f t="shared" si="12"/>
        <v>60500</v>
      </c>
    </row>
    <row r="59" spans="1:55" ht="30" hidden="1" x14ac:dyDescent="0.25">
      <c r="A59" s="1105"/>
      <c r="B59" s="1" t="s">
        <v>70</v>
      </c>
      <c r="C59" s="3" t="s">
        <v>562</v>
      </c>
      <c r="D59" s="23">
        <f t="shared" si="15"/>
        <v>148760</v>
      </c>
      <c r="E59" s="23">
        <v>0</v>
      </c>
      <c r="F59" s="74">
        <f t="shared" si="11"/>
        <v>148760</v>
      </c>
      <c r="G59" s="73">
        <f>+'F1,F2,F3,F4 (Desglose)'!H45</f>
        <v>0</v>
      </c>
      <c r="H59" s="73">
        <f>+'F1,F2,F3,F4 (Desglose)'!I45</f>
        <v>0</v>
      </c>
      <c r="I59" s="73">
        <f>+'F1,F2,F3,F4 (Desglose)'!J45</f>
        <v>0</v>
      </c>
      <c r="J59" s="73">
        <f>+'F1,F2,F3,F4 (Desglose)'!K45</f>
        <v>4040</v>
      </c>
      <c r="K59" s="73">
        <f>+'F1,F2,F3,F4 (Desglose)'!L45</f>
        <v>8040</v>
      </c>
      <c r="L59" s="73">
        <f>+'F1,F2,F3,F4 (Desglose)'!M45</f>
        <v>8040</v>
      </c>
      <c r="M59" s="73">
        <f>+'F1,F2,F3,F4 (Desglose)'!N45</f>
        <v>8040</v>
      </c>
      <c r="N59" s="73">
        <f>+'F1,F2,F3,F4 (Desglose)'!O45</f>
        <v>8040</v>
      </c>
      <c r="O59" s="73">
        <f>+'F1,F2,F3,F4 (Desglose)'!P45</f>
        <v>8040</v>
      </c>
      <c r="P59" s="73">
        <f>+'F1,F2,F3,F4 (Desglose)'!Q45</f>
        <v>8040</v>
      </c>
      <c r="Q59" s="73">
        <f>+'F1,F2,F3,F4 (Desglose)'!R45</f>
        <v>8040</v>
      </c>
      <c r="R59" s="74">
        <f t="shared" si="14"/>
        <v>60320</v>
      </c>
      <c r="S59" s="96">
        <v>8040</v>
      </c>
      <c r="T59" s="73">
        <v>8040</v>
      </c>
      <c r="U59" s="73">
        <v>8040</v>
      </c>
      <c r="V59" s="73">
        <v>8040</v>
      </c>
      <c r="W59" s="73">
        <v>8040</v>
      </c>
      <c r="X59" s="73">
        <v>8040</v>
      </c>
      <c r="Y59" s="73">
        <v>8040</v>
      </c>
      <c r="Z59" s="73">
        <v>8040</v>
      </c>
      <c r="AA59" s="73">
        <v>8040</v>
      </c>
      <c r="AB59" s="73">
        <v>8040</v>
      </c>
      <c r="AC59" s="73">
        <v>8040</v>
      </c>
      <c r="AD59" s="74">
        <f t="shared" si="12"/>
        <v>88440</v>
      </c>
    </row>
    <row r="60" spans="1:55" ht="15" hidden="1" x14ac:dyDescent="0.25">
      <c r="A60" s="1105"/>
      <c r="B60" s="1" t="s">
        <v>71</v>
      </c>
      <c r="C60" s="3" t="s">
        <v>63</v>
      </c>
      <c r="D60" s="23">
        <f t="shared" si="15"/>
        <v>77000</v>
      </c>
      <c r="E60" s="23">
        <v>0</v>
      </c>
      <c r="F60" s="74">
        <f t="shared" si="11"/>
        <v>77000</v>
      </c>
      <c r="G60" s="73">
        <v>3500</v>
      </c>
      <c r="H60" s="73">
        <v>3500</v>
      </c>
      <c r="I60" s="73">
        <v>3500</v>
      </c>
      <c r="J60" s="73">
        <v>3500</v>
      </c>
      <c r="K60" s="73">
        <v>3500</v>
      </c>
      <c r="L60" s="73">
        <v>3500</v>
      </c>
      <c r="M60" s="73">
        <v>3500</v>
      </c>
      <c r="N60" s="73">
        <v>3500</v>
      </c>
      <c r="O60" s="73">
        <v>3500</v>
      </c>
      <c r="P60" s="73">
        <v>3500</v>
      </c>
      <c r="Q60" s="73">
        <v>3500</v>
      </c>
      <c r="R60" s="74">
        <f t="shared" si="14"/>
        <v>38500</v>
      </c>
      <c r="S60" s="96">
        <v>3500</v>
      </c>
      <c r="T60" s="73">
        <v>3500</v>
      </c>
      <c r="U60" s="73">
        <v>3500</v>
      </c>
      <c r="V60" s="73">
        <v>3500</v>
      </c>
      <c r="W60" s="73">
        <v>3500</v>
      </c>
      <c r="X60" s="73">
        <v>3500</v>
      </c>
      <c r="Y60" s="73">
        <v>3500</v>
      </c>
      <c r="Z60" s="73">
        <v>3500</v>
      </c>
      <c r="AA60" s="73">
        <v>3500</v>
      </c>
      <c r="AB60" s="73">
        <v>3500</v>
      </c>
      <c r="AC60" s="73">
        <v>3500</v>
      </c>
      <c r="AD60" s="74">
        <f t="shared" si="12"/>
        <v>38500</v>
      </c>
    </row>
    <row r="61" spans="1:55" s="4" customFormat="1" ht="30" hidden="1" x14ac:dyDescent="0.25">
      <c r="A61" s="1105"/>
      <c r="B61" s="1" t="s">
        <v>72</v>
      </c>
      <c r="C61" s="3" t="s">
        <v>64</v>
      </c>
      <c r="D61" s="23">
        <f t="shared" si="15"/>
        <v>121000</v>
      </c>
      <c r="E61" s="23">
        <v>0</v>
      </c>
      <c r="F61" s="74">
        <f t="shared" si="11"/>
        <v>121000</v>
      </c>
      <c r="G61" s="73">
        <v>5500</v>
      </c>
      <c r="H61" s="73">
        <v>5500</v>
      </c>
      <c r="I61" s="73">
        <v>5500</v>
      </c>
      <c r="J61" s="73">
        <v>5500</v>
      </c>
      <c r="K61" s="73">
        <v>5500</v>
      </c>
      <c r="L61" s="73">
        <v>5500</v>
      </c>
      <c r="M61" s="73">
        <v>5500</v>
      </c>
      <c r="N61" s="73">
        <v>5500</v>
      </c>
      <c r="O61" s="73">
        <v>5500</v>
      </c>
      <c r="P61" s="73">
        <v>5500</v>
      </c>
      <c r="Q61" s="73">
        <v>5500</v>
      </c>
      <c r="R61" s="74">
        <f t="shared" si="14"/>
        <v>60500</v>
      </c>
      <c r="S61" s="96">
        <v>5500</v>
      </c>
      <c r="T61" s="73">
        <v>5500</v>
      </c>
      <c r="U61" s="73">
        <v>5500</v>
      </c>
      <c r="V61" s="73">
        <v>5500</v>
      </c>
      <c r="W61" s="73">
        <v>5500</v>
      </c>
      <c r="X61" s="73">
        <v>5500</v>
      </c>
      <c r="Y61" s="73">
        <v>5500</v>
      </c>
      <c r="Z61" s="73">
        <v>5500</v>
      </c>
      <c r="AA61" s="73">
        <v>5500</v>
      </c>
      <c r="AB61" s="73">
        <v>5500</v>
      </c>
      <c r="AC61" s="73">
        <v>5500</v>
      </c>
      <c r="AD61" s="74">
        <f t="shared" si="12"/>
        <v>60500</v>
      </c>
      <c r="AE61" s="9"/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9"/>
      <c r="AR61" s="9"/>
      <c r="AS61" s="9"/>
      <c r="AT61" s="9"/>
      <c r="AU61" s="9"/>
      <c r="AV61" s="9"/>
      <c r="AW61" s="9"/>
      <c r="AX61" s="9"/>
      <c r="AY61" s="9"/>
      <c r="AZ61" s="9"/>
      <c r="BA61" s="9"/>
      <c r="BB61" s="9"/>
      <c r="BC61" s="9"/>
    </row>
    <row r="62" spans="1:55" s="4" customFormat="1" ht="15" hidden="1" x14ac:dyDescent="0.25">
      <c r="A62" s="1105"/>
      <c r="B62" s="1" t="s">
        <v>73</v>
      </c>
      <c r="C62" s="3" t="s">
        <v>65</v>
      </c>
      <c r="D62" s="23">
        <f t="shared" si="15"/>
        <v>77000</v>
      </c>
      <c r="E62" s="23">
        <v>0</v>
      </c>
      <c r="F62" s="74">
        <f t="shared" si="11"/>
        <v>77000</v>
      </c>
      <c r="G62" s="73">
        <v>3500</v>
      </c>
      <c r="H62" s="73">
        <v>3500</v>
      </c>
      <c r="I62" s="73">
        <v>3500</v>
      </c>
      <c r="J62" s="73">
        <v>3500</v>
      </c>
      <c r="K62" s="73">
        <v>3500</v>
      </c>
      <c r="L62" s="73">
        <v>3500</v>
      </c>
      <c r="M62" s="73">
        <v>3500</v>
      </c>
      <c r="N62" s="73">
        <v>3500</v>
      </c>
      <c r="O62" s="73">
        <v>3500</v>
      </c>
      <c r="P62" s="73">
        <v>3500</v>
      </c>
      <c r="Q62" s="73">
        <v>3500</v>
      </c>
      <c r="R62" s="74">
        <f t="shared" si="14"/>
        <v>38500</v>
      </c>
      <c r="S62" s="96">
        <v>3500</v>
      </c>
      <c r="T62" s="73">
        <v>3500</v>
      </c>
      <c r="U62" s="73">
        <v>3500</v>
      </c>
      <c r="V62" s="73">
        <v>3500</v>
      </c>
      <c r="W62" s="73">
        <v>3500</v>
      </c>
      <c r="X62" s="73">
        <v>3500</v>
      </c>
      <c r="Y62" s="73">
        <v>3500</v>
      </c>
      <c r="Z62" s="73">
        <v>3500</v>
      </c>
      <c r="AA62" s="73">
        <v>3500</v>
      </c>
      <c r="AB62" s="73">
        <v>3500</v>
      </c>
      <c r="AC62" s="73">
        <v>3500</v>
      </c>
      <c r="AD62" s="74">
        <f t="shared" si="12"/>
        <v>38500</v>
      </c>
      <c r="AE62" s="9"/>
      <c r="AF62" s="9"/>
      <c r="AG62" s="9"/>
      <c r="AH62" s="9"/>
      <c r="AI62" s="9"/>
      <c r="AJ62" s="9"/>
      <c r="AK62" s="9"/>
      <c r="AL62" s="9"/>
      <c r="AM62" s="9"/>
      <c r="AN62" s="9"/>
      <c r="AO62" s="9"/>
      <c r="AP62" s="9"/>
      <c r="AQ62" s="9"/>
      <c r="AR62" s="9"/>
      <c r="AS62" s="9"/>
      <c r="AT62" s="9"/>
      <c r="AU62" s="9"/>
      <c r="AV62" s="9"/>
      <c r="AW62" s="9"/>
      <c r="AX62" s="9"/>
      <c r="AY62" s="9"/>
      <c r="AZ62" s="9"/>
      <c r="BA62" s="9"/>
      <c r="BB62" s="9"/>
      <c r="BC62" s="9"/>
    </row>
    <row r="63" spans="1:55" s="4" customFormat="1" ht="15" hidden="1" x14ac:dyDescent="0.25">
      <c r="A63" s="1105"/>
      <c r="B63" s="1" t="s">
        <v>74</v>
      </c>
      <c r="C63" s="47" t="s">
        <v>66</v>
      </c>
      <c r="D63" s="23">
        <f t="shared" si="15"/>
        <v>190000</v>
      </c>
      <c r="E63" s="23">
        <v>0</v>
      </c>
      <c r="F63" s="74">
        <f t="shared" si="11"/>
        <v>190000</v>
      </c>
      <c r="G63" s="73">
        <f>+'F1,F2,F3,F4 (Desglose)'!H49</f>
        <v>0</v>
      </c>
      <c r="H63" s="73">
        <f>+'F1,F2,F3,F4 (Desglose)'!I49</f>
        <v>0</v>
      </c>
      <c r="I63" s="73">
        <f>+'F1,F2,F3,F4 (Desglose)'!J49</f>
        <v>0</v>
      </c>
      <c r="J63" s="73">
        <f>+'F1,F2,F3,F4 (Desglose)'!K49</f>
        <v>10000</v>
      </c>
      <c r="K63" s="73">
        <f>+'F1,F2,F3,F4 (Desglose)'!L49</f>
        <v>10000</v>
      </c>
      <c r="L63" s="73">
        <f>+'F1,F2,F3,F4 (Desglose)'!M49</f>
        <v>10000</v>
      </c>
      <c r="M63" s="73">
        <f>+'F1,F2,F3,F4 (Desglose)'!N49</f>
        <v>10000</v>
      </c>
      <c r="N63" s="73">
        <f>+'F1,F2,F3,F4 (Desglose)'!O49</f>
        <v>10000</v>
      </c>
      <c r="O63" s="73">
        <f>+'F1,F2,F3,F4 (Desglose)'!P49</f>
        <v>10000</v>
      </c>
      <c r="P63" s="73">
        <f>+'F1,F2,F3,F4 (Desglose)'!Q49</f>
        <v>10000</v>
      </c>
      <c r="Q63" s="73">
        <f>+'F1,F2,F3,F4 (Desglose)'!R49</f>
        <v>10000</v>
      </c>
      <c r="R63" s="74">
        <f t="shared" si="14"/>
        <v>80000</v>
      </c>
      <c r="S63" s="96">
        <v>10000</v>
      </c>
      <c r="T63" s="73">
        <v>10000</v>
      </c>
      <c r="U63" s="73">
        <v>10000</v>
      </c>
      <c r="V63" s="73">
        <v>10000</v>
      </c>
      <c r="W63" s="73">
        <v>10000</v>
      </c>
      <c r="X63" s="73">
        <v>10000</v>
      </c>
      <c r="Y63" s="73">
        <v>10000</v>
      </c>
      <c r="Z63" s="73">
        <v>10000</v>
      </c>
      <c r="AA63" s="73">
        <v>10000</v>
      </c>
      <c r="AB63" s="73">
        <v>10000</v>
      </c>
      <c r="AC63" s="73">
        <v>10000</v>
      </c>
      <c r="AD63" s="74">
        <f t="shared" si="12"/>
        <v>110000</v>
      </c>
      <c r="AE63" s="9"/>
      <c r="AF63" s="9"/>
      <c r="AG63" s="9"/>
      <c r="AH63" s="9"/>
      <c r="AI63" s="9"/>
      <c r="AJ63" s="9"/>
      <c r="AK63" s="9"/>
      <c r="AL63" s="9"/>
      <c r="AM63" s="9"/>
      <c r="AN63" s="9"/>
      <c r="AO63" s="9"/>
      <c r="AP63" s="9"/>
      <c r="AQ63" s="9"/>
      <c r="AR63" s="9"/>
      <c r="AS63" s="9"/>
      <c r="AT63" s="9"/>
      <c r="AU63" s="9"/>
      <c r="AV63" s="9"/>
      <c r="AW63" s="9"/>
      <c r="AX63" s="9"/>
      <c r="AY63" s="9"/>
      <c r="AZ63" s="9"/>
      <c r="BA63" s="9"/>
      <c r="BB63" s="9"/>
      <c r="BC63" s="9"/>
    </row>
    <row r="64" spans="1:55" s="89" customFormat="1" ht="15.75" hidden="1" x14ac:dyDescent="0.25">
      <c r="A64" s="781" t="s">
        <v>788</v>
      </c>
      <c r="B64" s="782"/>
      <c r="C64" s="783"/>
      <c r="D64" s="784">
        <f>+D65</f>
        <v>0</v>
      </c>
      <c r="E64" s="784">
        <f>+E65</f>
        <v>180000</v>
      </c>
      <c r="F64" s="784">
        <f t="shared" si="11"/>
        <v>180000</v>
      </c>
      <c r="G64" s="784">
        <f>+G65</f>
        <v>0</v>
      </c>
      <c r="H64" s="784">
        <f t="shared" ref="H64:AD64" si="16">+H65</f>
        <v>7375</v>
      </c>
      <c r="I64" s="784">
        <f t="shared" si="16"/>
        <v>82625</v>
      </c>
      <c r="J64" s="784">
        <f t="shared" si="16"/>
        <v>90000</v>
      </c>
      <c r="K64" s="784">
        <f t="shared" si="16"/>
        <v>0</v>
      </c>
      <c r="L64" s="784">
        <f t="shared" si="16"/>
        <v>0</v>
      </c>
      <c r="M64" s="784">
        <f t="shared" si="16"/>
        <v>0</v>
      </c>
      <c r="N64" s="784">
        <f t="shared" si="16"/>
        <v>0</v>
      </c>
      <c r="O64" s="784">
        <f t="shared" si="16"/>
        <v>0</v>
      </c>
      <c r="P64" s="784">
        <f t="shared" si="16"/>
        <v>0</v>
      </c>
      <c r="Q64" s="784">
        <f t="shared" si="16"/>
        <v>0</v>
      </c>
      <c r="R64" s="784">
        <f t="shared" si="16"/>
        <v>180000</v>
      </c>
      <c r="S64" s="785">
        <f t="shared" si="16"/>
        <v>0</v>
      </c>
      <c r="T64" s="784">
        <f t="shared" si="16"/>
        <v>0</v>
      </c>
      <c r="U64" s="784">
        <f t="shared" si="16"/>
        <v>0</v>
      </c>
      <c r="V64" s="784">
        <f t="shared" si="16"/>
        <v>0</v>
      </c>
      <c r="W64" s="784">
        <f t="shared" si="16"/>
        <v>0</v>
      </c>
      <c r="X64" s="784">
        <f t="shared" si="16"/>
        <v>0</v>
      </c>
      <c r="Y64" s="784">
        <f t="shared" si="16"/>
        <v>0</v>
      </c>
      <c r="Z64" s="784">
        <f t="shared" si="16"/>
        <v>0</v>
      </c>
      <c r="AA64" s="784">
        <f t="shared" si="16"/>
        <v>0</v>
      </c>
      <c r="AB64" s="784">
        <f t="shared" si="16"/>
        <v>0</v>
      </c>
      <c r="AC64" s="784">
        <f t="shared" si="16"/>
        <v>0</v>
      </c>
      <c r="AD64" s="784">
        <f t="shared" si="16"/>
        <v>0</v>
      </c>
      <c r="AE64" s="860"/>
      <c r="AF64" s="860"/>
      <c r="AG64" s="860"/>
      <c r="AH64" s="860"/>
      <c r="AI64" s="860"/>
      <c r="AJ64" s="860"/>
      <c r="AK64" s="860"/>
      <c r="AL64" s="860"/>
      <c r="AM64" s="860"/>
      <c r="AN64" s="860"/>
      <c r="AO64" s="860"/>
      <c r="AP64" s="860"/>
      <c r="AQ64" s="860"/>
      <c r="AR64" s="860"/>
      <c r="AS64" s="860"/>
      <c r="AT64" s="860"/>
      <c r="AU64" s="860"/>
      <c r="AV64" s="860"/>
      <c r="AW64" s="860"/>
      <c r="AX64" s="860"/>
      <c r="AY64" s="860"/>
      <c r="AZ64" s="860"/>
      <c r="BA64" s="860"/>
      <c r="BB64" s="860"/>
      <c r="BC64" s="860"/>
    </row>
    <row r="65" spans="1:55" s="89" customFormat="1" ht="15.6" hidden="1" customHeight="1" x14ac:dyDescent="0.25">
      <c r="A65" s="1072"/>
      <c r="B65" s="1073"/>
      <c r="C65" s="1074"/>
      <c r="D65" s="786">
        <f>SUM(D66:D69)</f>
        <v>0</v>
      </c>
      <c r="E65" s="786">
        <f>SUM(E66:E69)</f>
        <v>180000</v>
      </c>
      <c r="F65" s="786">
        <f t="shared" si="11"/>
        <v>180000</v>
      </c>
      <c r="G65" s="786">
        <f>SUM(G66:G69)</f>
        <v>0</v>
      </c>
      <c r="H65" s="786">
        <f t="shared" ref="H65:AD65" si="17">SUM(H66:H69)</f>
        <v>7375</v>
      </c>
      <c r="I65" s="786">
        <f t="shared" si="17"/>
        <v>82625</v>
      </c>
      <c r="J65" s="786">
        <f t="shared" si="17"/>
        <v>90000</v>
      </c>
      <c r="K65" s="786">
        <f t="shared" si="17"/>
        <v>0</v>
      </c>
      <c r="L65" s="786">
        <f t="shared" si="17"/>
        <v>0</v>
      </c>
      <c r="M65" s="786">
        <f t="shared" si="17"/>
        <v>0</v>
      </c>
      <c r="N65" s="786">
        <f t="shared" si="17"/>
        <v>0</v>
      </c>
      <c r="O65" s="786">
        <f t="shared" si="17"/>
        <v>0</v>
      </c>
      <c r="P65" s="786">
        <f t="shared" si="17"/>
        <v>0</v>
      </c>
      <c r="Q65" s="786">
        <f t="shared" si="17"/>
        <v>0</v>
      </c>
      <c r="R65" s="786">
        <f t="shared" si="17"/>
        <v>180000</v>
      </c>
      <c r="S65" s="787">
        <f t="shared" si="17"/>
        <v>0</v>
      </c>
      <c r="T65" s="786">
        <f t="shared" si="17"/>
        <v>0</v>
      </c>
      <c r="U65" s="786">
        <f t="shared" si="17"/>
        <v>0</v>
      </c>
      <c r="V65" s="786">
        <f t="shared" si="17"/>
        <v>0</v>
      </c>
      <c r="W65" s="786">
        <f t="shared" si="17"/>
        <v>0</v>
      </c>
      <c r="X65" s="786">
        <f t="shared" si="17"/>
        <v>0</v>
      </c>
      <c r="Y65" s="786">
        <f t="shared" si="17"/>
        <v>0</v>
      </c>
      <c r="Z65" s="786">
        <f t="shared" si="17"/>
        <v>0</v>
      </c>
      <c r="AA65" s="786">
        <f t="shared" si="17"/>
        <v>0</v>
      </c>
      <c r="AB65" s="786">
        <f t="shared" si="17"/>
        <v>0</v>
      </c>
      <c r="AC65" s="786">
        <f t="shared" si="17"/>
        <v>0</v>
      </c>
      <c r="AD65" s="786">
        <f t="shared" si="17"/>
        <v>0</v>
      </c>
      <c r="AE65" s="860"/>
      <c r="AF65" s="860"/>
      <c r="AG65" s="860"/>
      <c r="AH65" s="860"/>
      <c r="AI65" s="860"/>
      <c r="AJ65" s="860"/>
      <c r="AK65" s="860"/>
      <c r="AL65" s="860"/>
      <c r="AM65" s="860"/>
      <c r="AN65" s="860"/>
      <c r="AO65" s="860"/>
      <c r="AP65" s="860"/>
      <c r="AQ65" s="860"/>
      <c r="AR65" s="860"/>
      <c r="AS65" s="860"/>
      <c r="AT65" s="860"/>
      <c r="AU65" s="860"/>
      <c r="AV65" s="860"/>
      <c r="AW65" s="860"/>
      <c r="AX65" s="860"/>
      <c r="AY65" s="860"/>
      <c r="AZ65" s="860"/>
      <c r="BA65" s="860"/>
      <c r="BB65" s="860"/>
      <c r="BC65" s="860"/>
    </row>
    <row r="66" spans="1:55" s="62" customFormat="1" ht="15" hidden="1" x14ac:dyDescent="0.25">
      <c r="A66" s="1093" t="s">
        <v>789</v>
      </c>
      <c r="B66" s="60" t="s">
        <v>2</v>
      </c>
      <c r="C66" s="64" t="s">
        <v>22</v>
      </c>
      <c r="D66" s="79"/>
      <c r="E66" s="80">
        <f>+R66+AD66</f>
        <v>20000</v>
      </c>
      <c r="F66" s="236">
        <f t="shared" si="11"/>
        <v>20000</v>
      </c>
      <c r="G66" s="61">
        <f>+'F1,F2,F3,F4 (Desglose)'!H52</f>
        <v>0</v>
      </c>
      <c r="H66" s="61">
        <f>+'F1,F2,F3,F4 (Desglose)'!I52</f>
        <v>0</v>
      </c>
      <c r="I66" s="61">
        <f>+'F1,F2,F3,F4 (Desglose)'!J52</f>
        <v>0</v>
      </c>
      <c r="J66" s="61">
        <f>+'F1,F2,F3,F4 (Desglose)'!K52</f>
        <v>20000</v>
      </c>
      <c r="K66" s="61">
        <f>+'F1,F2,F3,F4 (Desglose)'!L52</f>
        <v>0</v>
      </c>
      <c r="L66" s="61">
        <f>+'F1,F2,F3,F4 (Desglose)'!M52</f>
        <v>0</v>
      </c>
      <c r="M66" s="61">
        <f>+'F1,F2,F3,F4 (Desglose)'!N52</f>
        <v>0</v>
      </c>
      <c r="N66" s="61">
        <f>+'F1,F2,F3,F4 (Desglose)'!O52</f>
        <v>0</v>
      </c>
      <c r="O66" s="61">
        <f>+'F1,F2,F3,F4 (Desglose)'!P52</f>
        <v>0</v>
      </c>
      <c r="P66" s="61">
        <f>+'F1,F2,F3,F4 (Desglose)'!Q52</f>
        <v>0</v>
      </c>
      <c r="Q66" s="61">
        <f>+'F1,F2,F3,F4 (Desglose)'!R52</f>
        <v>0</v>
      </c>
      <c r="R66" s="83">
        <f>SUM(G66:Q66)</f>
        <v>20000</v>
      </c>
      <c r="S66" s="61">
        <f>+'F1,F2,F3,F4 (Desglose)'!T52</f>
        <v>0</v>
      </c>
      <c r="T66" s="61">
        <f>+'F1,F2,F3,F4 (Desglose)'!U52</f>
        <v>0</v>
      </c>
      <c r="U66" s="61">
        <f>+'F1,F2,F3,F4 (Desglose)'!V52</f>
        <v>0</v>
      </c>
      <c r="V66" s="61">
        <f>+'F1,F2,F3,F4 (Desglose)'!W52</f>
        <v>0</v>
      </c>
      <c r="W66" s="61">
        <f>+'F1,F2,F3,F4 (Desglose)'!X52</f>
        <v>0</v>
      </c>
      <c r="X66" s="61">
        <f>+'F1,F2,F3,F4 (Desglose)'!Y52</f>
        <v>0</v>
      </c>
      <c r="Y66" s="61">
        <f>+'F1,F2,F3,F4 (Desglose)'!Z52</f>
        <v>0</v>
      </c>
      <c r="Z66" s="61">
        <f>+'F1,F2,F3,F4 (Desglose)'!AA52</f>
        <v>0</v>
      </c>
      <c r="AA66" s="61">
        <f>+'F1,F2,F3,F4 (Desglose)'!AB52</f>
        <v>0</v>
      </c>
      <c r="AB66" s="61">
        <f>+'F1,F2,F3,F4 (Desglose)'!AC52</f>
        <v>0</v>
      </c>
      <c r="AC66" s="61">
        <f>+'F1,F2,F3,F4 (Desglose)'!AD52</f>
        <v>0</v>
      </c>
      <c r="AD66" s="83">
        <f>SUM(S66:AC66)</f>
        <v>0</v>
      </c>
      <c r="AE66" s="862"/>
      <c r="AF66" s="862"/>
      <c r="AG66" s="862"/>
      <c r="AH66" s="862"/>
      <c r="AI66" s="862"/>
      <c r="AJ66" s="862"/>
      <c r="AK66" s="862"/>
      <c r="AL66" s="862"/>
      <c r="AM66" s="862"/>
      <c r="AN66" s="862"/>
      <c r="AO66" s="862"/>
      <c r="AP66" s="862"/>
      <c r="AQ66" s="862"/>
      <c r="AR66" s="862"/>
      <c r="AS66" s="862"/>
      <c r="AT66" s="862"/>
      <c r="AU66" s="862"/>
      <c r="AV66" s="862"/>
      <c r="AW66" s="862"/>
      <c r="AX66" s="862"/>
      <c r="AY66" s="862"/>
      <c r="AZ66" s="862"/>
      <c r="BA66" s="862"/>
      <c r="BB66" s="862"/>
      <c r="BC66" s="862"/>
    </row>
    <row r="67" spans="1:55" s="62" customFormat="1" ht="15" hidden="1" x14ac:dyDescent="0.25">
      <c r="A67" s="1093"/>
      <c r="B67" s="764" t="s">
        <v>3</v>
      </c>
      <c r="C67" s="64" t="s">
        <v>23</v>
      </c>
      <c r="D67" s="79"/>
      <c r="E67" s="80">
        <f>+R67+AD67</f>
        <v>135000</v>
      </c>
      <c r="F67" s="236">
        <f t="shared" si="11"/>
        <v>135000</v>
      </c>
      <c r="G67" s="61">
        <f>+'F1,F2,F3,F4 (Desglose)'!H53</f>
        <v>0</v>
      </c>
      <c r="H67" s="61">
        <f>+'F1,F2,F3,F4 (Desglose)'!I53</f>
        <v>7375</v>
      </c>
      <c r="I67" s="61">
        <f>+'F1,F2,F3,F4 (Desglose)'!J53</f>
        <v>82625</v>
      </c>
      <c r="J67" s="61">
        <f>+'F1,F2,F3,F4 (Desglose)'!K53</f>
        <v>45000</v>
      </c>
      <c r="K67" s="61">
        <f>+'F1,F2,F3,F4 (Desglose)'!L53</f>
        <v>0</v>
      </c>
      <c r="L67" s="61">
        <f>+'F1,F2,F3,F4 (Desglose)'!M53</f>
        <v>0</v>
      </c>
      <c r="M67" s="61">
        <f>+'F1,F2,F3,F4 (Desglose)'!N53</f>
        <v>0</v>
      </c>
      <c r="N67" s="61">
        <f>+'F1,F2,F3,F4 (Desglose)'!O53</f>
        <v>0</v>
      </c>
      <c r="O67" s="61">
        <f>+'F1,F2,F3,F4 (Desglose)'!P53</f>
        <v>0</v>
      </c>
      <c r="P67" s="61">
        <f>+'F1,F2,F3,F4 (Desglose)'!Q53</f>
        <v>0</v>
      </c>
      <c r="Q67" s="61">
        <f>+'F1,F2,F3,F4 (Desglose)'!R53</f>
        <v>0</v>
      </c>
      <c r="R67" s="83">
        <f>SUM(G67:Q67)</f>
        <v>135000</v>
      </c>
      <c r="S67" s="61">
        <f>+'F1,F2,F3,F4 (Desglose)'!T53</f>
        <v>0</v>
      </c>
      <c r="T67" s="61">
        <f>+'F1,F2,F3,F4 (Desglose)'!U53</f>
        <v>0</v>
      </c>
      <c r="U67" s="61">
        <f>+'F1,F2,F3,F4 (Desglose)'!V53</f>
        <v>0</v>
      </c>
      <c r="V67" s="61">
        <f>+'F1,F2,F3,F4 (Desglose)'!W53</f>
        <v>0</v>
      </c>
      <c r="W67" s="61">
        <f>+'F1,F2,F3,F4 (Desglose)'!X53</f>
        <v>0</v>
      </c>
      <c r="X67" s="61">
        <f>+'F1,F2,F3,F4 (Desglose)'!Y53</f>
        <v>0</v>
      </c>
      <c r="Y67" s="61">
        <f>+'F1,F2,F3,F4 (Desglose)'!Z53</f>
        <v>0</v>
      </c>
      <c r="Z67" s="61">
        <f>+'F1,F2,F3,F4 (Desglose)'!AA53</f>
        <v>0</v>
      </c>
      <c r="AA67" s="61">
        <f>+'F1,F2,F3,F4 (Desglose)'!AB53</f>
        <v>0</v>
      </c>
      <c r="AB67" s="61">
        <f>+'F1,F2,F3,F4 (Desglose)'!AC53</f>
        <v>0</v>
      </c>
      <c r="AC67" s="61">
        <f>+'F1,F2,F3,F4 (Desglose)'!AD53</f>
        <v>0</v>
      </c>
      <c r="AD67" s="83">
        <f>SUM(S67:AC67)</f>
        <v>0</v>
      </c>
      <c r="AE67" s="862"/>
      <c r="AF67" s="862"/>
      <c r="AG67" s="862"/>
      <c r="AH67" s="862"/>
      <c r="AI67" s="862"/>
      <c r="AJ67" s="862"/>
      <c r="AK67" s="862"/>
      <c r="AL67" s="862"/>
      <c r="AM67" s="862"/>
      <c r="AN67" s="862"/>
      <c r="AO67" s="862"/>
      <c r="AP67" s="862"/>
      <c r="AQ67" s="862"/>
      <c r="AR67" s="862"/>
      <c r="AS67" s="862"/>
      <c r="AT67" s="862"/>
      <c r="AU67" s="862"/>
      <c r="AV67" s="862"/>
      <c r="AW67" s="862"/>
      <c r="AX67" s="862"/>
      <c r="AY67" s="862"/>
      <c r="AZ67" s="862"/>
      <c r="BA67" s="862"/>
      <c r="BB67" s="862"/>
      <c r="BC67" s="862"/>
    </row>
    <row r="68" spans="1:55" s="62" customFormat="1" ht="15" hidden="1" x14ac:dyDescent="0.25">
      <c r="A68" s="1093"/>
      <c r="B68" s="764" t="s">
        <v>4</v>
      </c>
      <c r="C68" s="64" t="s">
        <v>25</v>
      </c>
      <c r="D68" s="79"/>
      <c r="E68" s="80">
        <f>+R68+AD68</f>
        <v>10000</v>
      </c>
      <c r="F68" s="236">
        <f t="shared" si="11"/>
        <v>10000</v>
      </c>
      <c r="G68" s="61">
        <f>+'F1,F2,F3,F4 (Desglose)'!H54</f>
        <v>0</v>
      </c>
      <c r="H68" s="61">
        <f>+'F1,F2,F3,F4 (Desglose)'!I54</f>
        <v>0</v>
      </c>
      <c r="I68" s="61">
        <f>+'F1,F2,F3,F4 (Desglose)'!J54</f>
        <v>0</v>
      </c>
      <c r="J68" s="61">
        <f>+'F1,F2,F3,F4 (Desglose)'!K54</f>
        <v>10000</v>
      </c>
      <c r="K68" s="61">
        <f>+'F1,F2,F3,F4 (Desglose)'!L54</f>
        <v>0</v>
      </c>
      <c r="L68" s="61">
        <f>+'F1,F2,F3,F4 (Desglose)'!M54</f>
        <v>0</v>
      </c>
      <c r="M68" s="61">
        <f>+'F1,F2,F3,F4 (Desglose)'!N54</f>
        <v>0</v>
      </c>
      <c r="N68" s="61">
        <f>+'F1,F2,F3,F4 (Desglose)'!O54</f>
        <v>0</v>
      </c>
      <c r="O68" s="61">
        <f>+'F1,F2,F3,F4 (Desglose)'!P54</f>
        <v>0</v>
      </c>
      <c r="P68" s="61">
        <f>+'F1,F2,F3,F4 (Desglose)'!Q54</f>
        <v>0</v>
      </c>
      <c r="Q68" s="61">
        <f>+'F1,F2,F3,F4 (Desglose)'!R54</f>
        <v>0</v>
      </c>
      <c r="R68" s="83">
        <f>SUM(G68:Q68)</f>
        <v>10000</v>
      </c>
      <c r="S68" s="61">
        <f>+'F1,F2,F3,F4 (Desglose)'!T54</f>
        <v>0</v>
      </c>
      <c r="T68" s="61">
        <f>+'F1,F2,F3,F4 (Desglose)'!U54</f>
        <v>0</v>
      </c>
      <c r="U68" s="61">
        <f>+'F1,F2,F3,F4 (Desglose)'!V54</f>
        <v>0</v>
      </c>
      <c r="V68" s="61">
        <f>+'F1,F2,F3,F4 (Desglose)'!W54</f>
        <v>0</v>
      </c>
      <c r="W68" s="61">
        <f>+'F1,F2,F3,F4 (Desglose)'!X54</f>
        <v>0</v>
      </c>
      <c r="X68" s="61">
        <f>+'F1,F2,F3,F4 (Desglose)'!Y54</f>
        <v>0</v>
      </c>
      <c r="Y68" s="61">
        <f>+'F1,F2,F3,F4 (Desglose)'!Z54</f>
        <v>0</v>
      </c>
      <c r="Z68" s="61">
        <f>+'F1,F2,F3,F4 (Desglose)'!AA54</f>
        <v>0</v>
      </c>
      <c r="AA68" s="61">
        <f>+'F1,F2,F3,F4 (Desglose)'!AB54</f>
        <v>0</v>
      </c>
      <c r="AB68" s="61">
        <f>+'F1,F2,F3,F4 (Desglose)'!AC54</f>
        <v>0</v>
      </c>
      <c r="AC68" s="61">
        <f>+'F1,F2,F3,F4 (Desglose)'!AD54</f>
        <v>0</v>
      </c>
      <c r="AD68" s="83">
        <f>SUM(S68:AC68)</f>
        <v>0</v>
      </c>
      <c r="AE68" s="862"/>
      <c r="AF68" s="862"/>
      <c r="AG68" s="862"/>
      <c r="AH68" s="862"/>
      <c r="AI68" s="862"/>
      <c r="AJ68" s="862"/>
      <c r="AK68" s="862"/>
      <c r="AL68" s="862"/>
      <c r="AM68" s="862"/>
      <c r="AN68" s="862"/>
      <c r="AO68" s="862"/>
      <c r="AP68" s="862"/>
      <c r="AQ68" s="862"/>
      <c r="AR68" s="862"/>
      <c r="AS68" s="862"/>
      <c r="AT68" s="862"/>
      <c r="AU68" s="862"/>
      <c r="AV68" s="862"/>
      <c r="AW68" s="862"/>
      <c r="AX68" s="862"/>
      <c r="AY68" s="862"/>
      <c r="AZ68" s="862"/>
      <c r="BA68" s="862"/>
      <c r="BB68" s="862"/>
      <c r="BC68" s="862"/>
    </row>
    <row r="69" spans="1:55" s="62" customFormat="1" ht="15" hidden="1" x14ac:dyDescent="0.25">
      <c r="A69" s="1093"/>
      <c r="B69" s="764" t="s">
        <v>8</v>
      </c>
      <c r="C69" s="64" t="s">
        <v>24</v>
      </c>
      <c r="D69" s="79"/>
      <c r="E69" s="80">
        <f>+R69+AD69</f>
        <v>15000</v>
      </c>
      <c r="F69" s="236">
        <f t="shared" si="11"/>
        <v>15000</v>
      </c>
      <c r="G69" s="61">
        <f>+'F1,F2,F3,F4 (Desglose)'!H55</f>
        <v>0</v>
      </c>
      <c r="H69" s="61">
        <f>+'F1,F2,F3,F4 (Desglose)'!I55</f>
        <v>0</v>
      </c>
      <c r="I69" s="61">
        <f>+'F1,F2,F3,F4 (Desglose)'!J55</f>
        <v>0</v>
      </c>
      <c r="J69" s="61">
        <f>+'F1,F2,F3,F4 (Desglose)'!K55</f>
        <v>15000</v>
      </c>
      <c r="K69" s="61">
        <f>+'F1,F2,F3,F4 (Desglose)'!L55</f>
        <v>0</v>
      </c>
      <c r="L69" s="61">
        <f>+'F1,F2,F3,F4 (Desglose)'!M55</f>
        <v>0</v>
      </c>
      <c r="M69" s="61">
        <f>+'F1,F2,F3,F4 (Desglose)'!N55</f>
        <v>0</v>
      </c>
      <c r="N69" s="61">
        <f>+'F1,F2,F3,F4 (Desglose)'!O55</f>
        <v>0</v>
      </c>
      <c r="O69" s="61">
        <f>+'F1,F2,F3,F4 (Desglose)'!P55</f>
        <v>0</v>
      </c>
      <c r="P69" s="61">
        <f>+'F1,F2,F3,F4 (Desglose)'!Q55</f>
        <v>0</v>
      </c>
      <c r="Q69" s="61">
        <f>+'F1,F2,F3,F4 (Desglose)'!R55</f>
        <v>0</v>
      </c>
      <c r="R69" s="83">
        <f>SUM(G69:Q69)</f>
        <v>15000</v>
      </c>
      <c r="S69" s="61">
        <f>+'F1,F2,F3,F4 (Desglose)'!T55</f>
        <v>0</v>
      </c>
      <c r="T69" s="61">
        <f>+'F1,F2,F3,F4 (Desglose)'!U55</f>
        <v>0</v>
      </c>
      <c r="U69" s="61">
        <f>+'F1,F2,F3,F4 (Desglose)'!V55</f>
        <v>0</v>
      </c>
      <c r="V69" s="61">
        <f>+'F1,F2,F3,F4 (Desglose)'!W55</f>
        <v>0</v>
      </c>
      <c r="W69" s="61">
        <f>+'F1,F2,F3,F4 (Desglose)'!X55</f>
        <v>0</v>
      </c>
      <c r="X69" s="61">
        <f>+'F1,F2,F3,F4 (Desglose)'!Y55</f>
        <v>0</v>
      </c>
      <c r="Y69" s="61">
        <f>+'F1,F2,F3,F4 (Desglose)'!Z55</f>
        <v>0</v>
      </c>
      <c r="Z69" s="61">
        <f>+'F1,F2,F3,F4 (Desglose)'!AA55</f>
        <v>0</v>
      </c>
      <c r="AA69" s="61">
        <f>+'F1,F2,F3,F4 (Desglose)'!AB55</f>
        <v>0</v>
      </c>
      <c r="AB69" s="61">
        <f>+'F1,F2,F3,F4 (Desglose)'!AC55</f>
        <v>0</v>
      </c>
      <c r="AC69" s="61">
        <f>+'F1,F2,F3,F4 (Desglose)'!AD55</f>
        <v>0</v>
      </c>
      <c r="AD69" s="83">
        <f>SUM(S69:AC69)</f>
        <v>0</v>
      </c>
      <c r="AE69" s="862"/>
      <c r="AF69" s="862"/>
      <c r="AG69" s="862"/>
      <c r="AH69" s="862"/>
      <c r="AI69" s="862"/>
      <c r="AJ69" s="862"/>
      <c r="AK69" s="862"/>
      <c r="AL69" s="862"/>
      <c r="AM69" s="862"/>
      <c r="AN69" s="862"/>
      <c r="AO69" s="862"/>
      <c r="AP69" s="862"/>
      <c r="AQ69" s="862"/>
      <c r="AR69" s="862"/>
      <c r="AS69" s="862"/>
      <c r="AT69" s="862"/>
      <c r="AU69" s="862"/>
      <c r="AV69" s="862"/>
      <c r="AW69" s="862"/>
      <c r="AX69" s="862"/>
      <c r="AY69" s="862"/>
      <c r="AZ69" s="862"/>
      <c r="BA69" s="862"/>
      <c r="BB69" s="862"/>
      <c r="BC69" s="862"/>
    </row>
    <row r="70" spans="1:55" s="621" customFormat="1" ht="52.5" customHeight="1" x14ac:dyDescent="0.3">
      <c r="A70" s="1090" t="s">
        <v>816</v>
      </c>
      <c r="B70" s="1091"/>
      <c r="C70" s="1092"/>
      <c r="D70" s="526">
        <v>5137500</v>
      </c>
      <c r="E70" s="526">
        <v>1994920.2999999998</v>
      </c>
      <c r="F70" s="526">
        <v>7132420.2999999998</v>
      </c>
      <c r="G70" s="526">
        <v>84000</v>
      </c>
      <c r="H70" s="526">
        <v>96000</v>
      </c>
      <c r="I70" s="526">
        <v>47000</v>
      </c>
      <c r="J70" s="526">
        <v>182500</v>
      </c>
      <c r="K70" s="526">
        <v>209000</v>
      </c>
      <c r="L70" s="526">
        <v>194000</v>
      </c>
      <c r="M70" s="526">
        <v>494500</v>
      </c>
      <c r="N70" s="526">
        <v>499363.5</v>
      </c>
      <c r="O70" s="526">
        <v>306000</v>
      </c>
      <c r="P70" s="526">
        <v>506700</v>
      </c>
      <c r="Q70" s="526">
        <v>164000</v>
      </c>
      <c r="R70" s="526">
        <v>2783063.5</v>
      </c>
      <c r="S70" s="526">
        <v>186000</v>
      </c>
      <c r="T70" s="526">
        <v>934220.29999999993</v>
      </c>
      <c r="U70" s="526">
        <v>685486.5</v>
      </c>
      <c r="V70" s="526">
        <v>894650</v>
      </c>
      <c r="W70" s="526">
        <v>254000</v>
      </c>
      <c r="X70" s="526">
        <v>477000</v>
      </c>
      <c r="Y70" s="526">
        <v>188000</v>
      </c>
      <c r="Z70" s="526">
        <v>186000</v>
      </c>
      <c r="AA70" s="526">
        <v>208000</v>
      </c>
      <c r="AB70" s="526">
        <v>150000</v>
      </c>
      <c r="AC70" s="526">
        <v>186000</v>
      </c>
      <c r="AD70" s="526">
        <v>4349356.8</v>
      </c>
      <c r="AE70" s="863"/>
      <c r="AF70" s="863"/>
      <c r="AG70" s="863"/>
      <c r="AH70" s="863"/>
      <c r="AI70" s="863"/>
      <c r="AJ70" s="863"/>
      <c r="AK70" s="863"/>
      <c r="AL70" s="863"/>
      <c r="AM70" s="863"/>
      <c r="AN70" s="863"/>
      <c r="AO70" s="863"/>
      <c r="AP70" s="863"/>
      <c r="AQ70" s="863"/>
      <c r="AR70" s="863"/>
      <c r="AS70" s="863"/>
      <c r="AT70" s="863"/>
      <c r="AU70" s="863"/>
      <c r="AV70" s="863"/>
      <c r="AW70" s="863"/>
      <c r="AX70" s="863"/>
      <c r="AY70" s="863"/>
      <c r="AZ70" s="863"/>
      <c r="BA70" s="863"/>
      <c r="BB70" s="863"/>
      <c r="BC70" s="863"/>
    </row>
    <row r="71" spans="1:55" ht="36.75" customHeight="1" x14ac:dyDescent="0.3">
      <c r="A71" s="1063" t="s">
        <v>817</v>
      </c>
      <c r="B71" s="1064"/>
      <c r="C71" s="1064"/>
      <c r="D71" s="1064"/>
      <c r="E71" s="1064"/>
      <c r="F71" s="1064"/>
      <c r="G71" s="1064"/>
      <c r="H71" s="1064"/>
      <c r="I71" s="1064"/>
      <c r="J71" s="1064"/>
      <c r="K71" s="1064"/>
      <c r="L71" s="1064"/>
      <c r="M71" s="1064"/>
      <c r="N71" s="1064"/>
      <c r="O71" s="1064"/>
      <c r="P71" s="1064"/>
      <c r="Q71" s="1064"/>
      <c r="R71" s="1064"/>
      <c r="S71" s="1064"/>
      <c r="T71" s="1064"/>
      <c r="U71" s="1064"/>
      <c r="V71" s="1064"/>
      <c r="W71" s="1064"/>
      <c r="X71" s="1064"/>
      <c r="Y71" s="1064"/>
      <c r="Z71" s="1064"/>
      <c r="AA71" s="1064"/>
      <c r="AB71" s="1064"/>
      <c r="AC71" s="1064"/>
      <c r="AD71" s="1065"/>
    </row>
    <row r="72" spans="1:55" s="67" customFormat="1" ht="37.5" customHeight="1" x14ac:dyDescent="0.3">
      <c r="A72" s="1085" t="s">
        <v>818</v>
      </c>
      <c r="B72" s="1086"/>
      <c r="C72" s="1086"/>
      <c r="D72" s="1086"/>
      <c r="E72" s="1086"/>
      <c r="F72" s="1087"/>
      <c r="G72" s="222"/>
      <c r="H72" s="222"/>
      <c r="I72" s="222"/>
      <c r="J72" s="222"/>
      <c r="K72" s="222"/>
      <c r="L72" s="222"/>
      <c r="M72" s="222"/>
      <c r="N72" s="222"/>
      <c r="O72" s="222"/>
      <c r="P72" s="222"/>
      <c r="Q72" s="222"/>
      <c r="R72" s="248"/>
      <c r="S72" s="222"/>
      <c r="T72" s="222"/>
      <c r="U72" s="222"/>
      <c r="V72" s="222"/>
      <c r="W72" s="222"/>
      <c r="X72" s="222"/>
      <c r="Y72" s="222"/>
      <c r="Z72" s="222"/>
      <c r="AA72" s="222"/>
      <c r="AB72" s="222"/>
      <c r="AC72" s="222"/>
      <c r="AD72" s="222"/>
      <c r="AE72" s="663"/>
      <c r="AF72" s="663"/>
      <c r="AG72" s="663"/>
      <c r="AH72" s="663"/>
      <c r="AI72" s="663"/>
      <c r="AJ72" s="663"/>
      <c r="AK72" s="663"/>
      <c r="AL72" s="663"/>
      <c r="AM72" s="663"/>
      <c r="AN72" s="663"/>
      <c r="AO72" s="663"/>
      <c r="AP72" s="663"/>
      <c r="AQ72" s="663"/>
      <c r="AR72" s="663"/>
      <c r="AS72" s="663"/>
      <c r="AT72" s="663"/>
      <c r="AU72" s="663"/>
      <c r="AV72" s="663"/>
      <c r="AW72" s="663"/>
      <c r="AX72" s="663"/>
      <c r="AY72" s="663"/>
      <c r="AZ72" s="663"/>
      <c r="BA72" s="663"/>
      <c r="BB72" s="663"/>
      <c r="BC72" s="663"/>
    </row>
    <row r="73" spans="1:55" ht="22.5" customHeight="1" x14ac:dyDescent="0.3">
      <c r="A73" s="1080" t="s">
        <v>92</v>
      </c>
      <c r="B73" s="40"/>
      <c r="C73" s="108"/>
      <c r="D73" s="70">
        <v>761950</v>
      </c>
      <c r="E73" s="70">
        <v>0</v>
      </c>
      <c r="F73" s="70">
        <v>761950</v>
      </c>
      <c r="G73" s="70">
        <v>37000</v>
      </c>
      <c r="H73" s="70">
        <v>42450</v>
      </c>
      <c r="I73" s="70">
        <v>0</v>
      </c>
      <c r="J73" s="70">
        <v>17500</v>
      </c>
      <c r="K73" s="70">
        <v>54000</v>
      </c>
      <c r="L73" s="70">
        <v>52000</v>
      </c>
      <c r="M73" s="70">
        <v>81000</v>
      </c>
      <c r="N73" s="70">
        <v>43000</v>
      </c>
      <c r="O73" s="70">
        <v>55000</v>
      </c>
      <c r="P73" s="70">
        <v>45000</v>
      </c>
      <c r="Q73" s="70">
        <v>44000</v>
      </c>
      <c r="R73" s="99">
        <v>470950</v>
      </c>
      <c r="S73" s="70">
        <v>31000</v>
      </c>
      <c r="T73" s="70">
        <v>51000</v>
      </c>
      <c r="U73" s="70">
        <v>41000</v>
      </c>
      <c r="V73" s="70">
        <v>41000</v>
      </c>
      <c r="W73" s="70">
        <v>41000</v>
      </c>
      <c r="X73" s="70">
        <v>16000</v>
      </c>
      <c r="Y73" s="70">
        <v>16000</v>
      </c>
      <c r="Z73" s="70">
        <v>16000</v>
      </c>
      <c r="AA73" s="70">
        <v>16000</v>
      </c>
      <c r="AB73" s="70">
        <v>16000</v>
      </c>
      <c r="AC73" s="70">
        <v>6000</v>
      </c>
      <c r="AD73" s="70">
        <v>291000</v>
      </c>
    </row>
    <row r="74" spans="1:55" s="62" customFormat="1" ht="63.75" customHeight="1" x14ac:dyDescent="0.3">
      <c r="A74" s="1081"/>
      <c r="B74" s="763" t="s">
        <v>2</v>
      </c>
      <c r="C74" s="243" t="s">
        <v>114</v>
      </c>
      <c r="D74" s="881">
        <v>572500</v>
      </c>
      <c r="E74" s="881">
        <v>0</v>
      </c>
      <c r="F74" s="236">
        <v>572500</v>
      </c>
      <c r="G74" s="61">
        <v>37000</v>
      </c>
      <c r="H74" s="61">
        <v>37000</v>
      </c>
      <c r="I74" s="61">
        <v>0</v>
      </c>
      <c r="J74" s="61">
        <v>11500</v>
      </c>
      <c r="K74" s="61">
        <v>48000</v>
      </c>
      <c r="L74" s="61">
        <v>48000</v>
      </c>
      <c r="M74" s="61">
        <v>60000</v>
      </c>
      <c r="N74" s="61">
        <v>35000</v>
      </c>
      <c r="O74" s="61">
        <v>35000</v>
      </c>
      <c r="P74" s="61">
        <v>35000</v>
      </c>
      <c r="Q74" s="61">
        <v>35000</v>
      </c>
      <c r="R74" s="875">
        <v>381500</v>
      </c>
      <c r="S74" s="61">
        <v>31000</v>
      </c>
      <c r="T74" s="61">
        <v>31000</v>
      </c>
      <c r="U74" s="61">
        <v>31000</v>
      </c>
      <c r="V74" s="61">
        <v>31000</v>
      </c>
      <c r="W74" s="61">
        <v>31000</v>
      </c>
      <c r="X74" s="61">
        <v>6000</v>
      </c>
      <c r="Y74" s="61">
        <v>6000</v>
      </c>
      <c r="Z74" s="61">
        <v>6000</v>
      </c>
      <c r="AA74" s="61">
        <v>6000</v>
      </c>
      <c r="AB74" s="61">
        <v>6000</v>
      </c>
      <c r="AC74" s="61">
        <v>6000</v>
      </c>
      <c r="AD74" s="61">
        <v>191000</v>
      </c>
      <c r="AE74" s="862"/>
      <c r="AF74" s="862"/>
      <c r="AG74" s="862"/>
      <c r="AH74" s="862"/>
      <c r="AI74" s="862"/>
      <c r="AJ74" s="862"/>
      <c r="AK74" s="862"/>
      <c r="AL74" s="862"/>
      <c r="AM74" s="862"/>
      <c r="AN74" s="862"/>
      <c r="AO74" s="862"/>
      <c r="AP74" s="862"/>
      <c r="AQ74" s="862"/>
      <c r="AR74" s="862"/>
      <c r="AS74" s="862"/>
      <c r="AT74" s="862"/>
      <c r="AU74" s="862"/>
      <c r="AV74" s="862"/>
      <c r="AW74" s="862"/>
      <c r="AX74" s="862"/>
      <c r="AY74" s="862"/>
      <c r="AZ74" s="862"/>
      <c r="BA74" s="862"/>
      <c r="BB74" s="862"/>
      <c r="BC74" s="862"/>
    </row>
    <row r="75" spans="1:55" s="118" customFormat="1" ht="78" customHeight="1" x14ac:dyDescent="0.3">
      <c r="A75" s="1082"/>
      <c r="B75" s="763" t="s">
        <v>3</v>
      </c>
      <c r="C75" s="243" t="s">
        <v>643</v>
      </c>
      <c r="D75" s="882">
        <v>189450</v>
      </c>
      <c r="E75" s="882">
        <v>0</v>
      </c>
      <c r="F75" s="74">
        <v>189450</v>
      </c>
      <c r="G75" s="81">
        <v>0</v>
      </c>
      <c r="H75" s="81">
        <v>5450</v>
      </c>
      <c r="I75" s="81">
        <v>0</v>
      </c>
      <c r="J75" s="81">
        <v>6000</v>
      </c>
      <c r="K75" s="81">
        <v>6000</v>
      </c>
      <c r="L75" s="81">
        <v>4000</v>
      </c>
      <c r="M75" s="81">
        <v>21000</v>
      </c>
      <c r="N75" s="81">
        <v>8000</v>
      </c>
      <c r="O75" s="81">
        <v>20000</v>
      </c>
      <c r="P75" s="81">
        <v>10000</v>
      </c>
      <c r="Q75" s="81">
        <v>9000</v>
      </c>
      <c r="R75" s="876">
        <v>89450</v>
      </c>
      <c r="S75" s="81">
        <v>0</v>
      </c>
      <c r="T75" s="81">
        <v>20000</v>
      </c>
      <c r="U75" s="81">
        <v>10000</v>
      </c>
      <c r="V75" s="81">
        <v>10000</v>
      </c>
      <c r="W75" s="81">
        <v>10000</v>
      </c>
      <c r="X75" s="81">
        <v>10000</v>
      </c>
      <c r="Y75" s="81">
        <v>10000</v>
      </c>
      <c r="Z75" s="81">
        <v>10000</v>
      </c>
      <c r="AA75" s="81">
        <v>10000</v>
      </c>
      <c r="AB75" s="81">
        <v>10000</v>
      </c>
      <c r="AC75" s="81">
        <v>0</v>
      </c>
      <c r="AD75" s="81">
        <v>100000</v>
      </c>
      <c r="AE75" s="864"/>
      <c r="AF75" s="864"/>
      <c r="AG75" s="864"/>
      <c r="AH75" s="864"/>
      <c r="AI75" s="864"/>
      <c r="AJ75" s="864"/>
      <c r="AK75" s="864"/>
      <c r="AL75" s="864"/>
      <c r="AM75" s="864"/>
      <c r="AN75" s="864"/>
      <c r="AO75" s="864"/>
      <c r="AP75" s="864"/>
      <c r="AQ75" s="864"/>
      <c r="AR75" s="864"/>
      <c r="AS75" s="864"/>
      <c r="AT75" s="864"/>
      <c r="AU75" s="864"/>
      <c r="AV75" s="864"/>
      <c r="AW75" s="864"/>
      <c r="AX75" s="864"/>
      <c r="AY75" s="864"/>
      <c r="AZ75" s="864"/>
      <c r="BA75" s="864"/>
      <c r="BB75" s="864"/>
      <c r="BC75" s="864"/>
    </row>
    <row r="76" spans="1:55" s="67" customFormat="1" ht="48" customHeight="1" x14ac:dyDescent="0.3">
      <c r="A76" s="238" t="s">
        <v>819</v>
      </c>
      <c r="B76" s="239"/>
      <c r="C76" s="777"/>
      <c r="D76" s="777"/>
      <c r="E76" s="777"/>
      <c r="F76" s="778"/>
      <c r="G76" s="222"/>
      <c r="H76" s="222"/>
      <c r="I76" s="222"/>
      <c r="J76" s="222"/>
      <c r="K76" s="222"/>
      <c r="L76" s="222"/>
      <c r="M76" s="222"/>
      <c r="N76" s="222"/>
      <c r="O76" s="222"/>
      <c r="P76" s="222"/>
      <c r="Q76" s="222"/>
      <c r="R76" s="248">
        <v>0</v>
      </c>
      <c r="S76" s="222"/>
      <c r="T76" s="222"/>
      <c r="U76" s="222"/>
      <c r="V76" s="222"/>
      <c r="W76" s="222"/>
      <c r="X76" s="222"/>
      <c r="Y76" s="222"/>
      <c r="Z76" s="222"/>
      <c r="AA76" s="222"/>
      <c r="AB76" s="222"/>
      <c r="AC76" s="222"/>
      <c r="AD76" s="222"/>
      <c r="AE76" s="663"/>
      <c r="AF76" s="663"/>
      <c r="AG76" s="663"/>
      <c r="AH76" s="663"/>
      <c r="AI76" s="663"/>
      <c r="AJ76" s="663"/>
      <c r="AK76" s="663"/>
      <c r="AL76" s="663"/>
      <c r="AM76" s="663"/>
      <c r="AN76" s="663"/>
      <c r="AO76" s="663"/>
      <c r="AP76" s="663"/>
      <c r="AQ76" s="663"/>
      <c r="AR76" s="663"/>
      <c r="AS76" s="663"/>
      <c r="AT76" s="663"/>
      <c r="AU76" s="663"/>
      <c r="AV76" s="663"/>
      <c r="AW76" s="663"/>
      <c r="AX76" s="663"/>
      <c r="AY76" s="663"/>
      <c r="AZ76" s="663"/>
      <c r="BA76" s="663"/>
      <c r="BB76" s="663"/>
      <c r="BC76" s="663"/>
    </row>
    <row r="77" spans="1:55" ht="24.75" customHeight="1" x14ac:dyDescent="0.3">
      <c r="A77" s="1080" t="s">
        <v>110</v>
      </c>
      <c r="B77" s="40"/>
      <c r="C77" s="108"/>
      <c r="D77" s="70">
        <v>1881220</v>
      </c>
      <c r="E77" s="70">
        <v>300000</v>
      </c>
      <c r="F77" s="70">
        <v>2181220</v>
      </c>
      <c r="G77" s="70">
        <v>25000</v>
      </c>
      <c r="H77" s="70">
        <v>28220</v>
      </c>
      <c r="I77" s="70">
        <v>36000</v>
      </c>
      <c r="J77" s="70">
        <v>57000</v>
      </c>
      <c r="K77" s="70">
        <v>73000</v>
      </c>
      <c r="L77" s="70">
        <v>70000</v>
      </c>
      <c r="M77" s="70">
        <v>109000</v>
      </c>
      <c r="N77" s="70">
        <v>296863.5</v>
      </c>
      <c r="O77" s="70">
        <v>84000</v>
      </c>
      <c r="P77" s="70">
        <v>74000</v>
      </c>
      <c r="Q77" s="70">
        <v>76000</v>
      </c>
      <c r="R77" s="70">
        <v>929083.5</v>
      </c>
      <c r="S77" s="70">
        <v>87000</v>
      </c>
      <c r="T77" s="70">
        <v>93000</v>
      </c>
      <c r="U77" s="70">
        <v>170136.5</v>
      </c>
      <c r="V77" s="70">
        <v>93000</v>
      </c>
      <c r="W77" s="70">
        <v>99000</v>
      </c>
      <c r="X77" s="70">
        <v>368000</v>
      </c>
      <c r="Y77" s="70">
        <v>74000</v>
      </c>
      <c r="Z77" s="70">
        <v>66000</v>
      </c>
      <c r="AA77" s="70">
        <v>74000</v>
      </c>
      <c r="AB77" s="70">
        <v>66000</v>
      </c>
      <c r="AC77" s="70">
        <v>62000</v>
      </c>
      <c r="AD77" s="70">
        <v>1252136.5</v>
      </c>
    </row>
    <row r="78" spans="1:55" s="62" customFormat="1" ht="78" customHeight="1" x14ac:dyDescent="0.3">
      <c r="A78" s="1081"/>
      <c r="B78" s="763" t="s">
        <v>2</v>
      </c>
      <c r="C78" s="243" t="s">
        <v>207</v>
      </c>
      <c r="D78" s="881">
        <v>1245000</v>
      </c>
      <c r="E78" s="881">
        <v>0</v>
      </c>
      <c r="F78" s="236">
        <v>1245000</v>
      </c>
      <c r="G78" s="61">
        <v>25000</v>
      </c>
      <c r="H78" s="61">
        <v>25000</v>
      </c>
      <c r="I78" s="61">
        <v>36000</v>
      </c>
      <c r="J78" s="61">
        <v>53000</v>
      </c>
      <c r="K78" s="61">
        <v>70000</v>
      </c>
      <c r="L78" s="61">
        <v>70000</v>
      </c>
      <c r="M78" s="61">
        <v>76000</v>
      </c>
      <c r="N78" s="61">
        <v>51000</v>
      </c>
      <c r="O78" s="61">
        <v>51000</v>
      </c>
      <c r="P78" s="61">
        <v>51000</v>
      </c>
      <c r="Q78" s="61">
        <v>51000</v>
      </c>
      <c r="R78" s="875">
        <v>559000</v>
      </c>
      <c r="S78" s="61">
        <v>76000</v>
      </c>
      <c r="T78" s="61">
        <v>76000</v>
      </c>
      <c r="U78" s="61">
        <v>76000</v>
      </c>
      <c r="V78" s="61">
        <v>76000</v>
      </c>
      <c r="W78" s="61">
        <v>76000</v>
      </c>
      <c r="X78" s="61">
        <v>51000</v>
      </c>
      <c r="Y78" s="61">
        <v>51000</v>
      </c>
      <c r="Z78" s="61">
        <v>51000</v>
      </c>
      <c r="AA78" s="61">
        <v>51000</v>
      </c>
      <c r="AB78" s="61">
        <v>51000</v>
      </c>
      <c r="AC78" s="61">
        <v>51000</v>
      </c>
      <c r="AD78" s="61">
        <v>686000</v>
      </c>
      <c r="AE78" s="862"/>
      <c r="AF78" s="862"/>
      <c r="AG78" s="862"/>
      <c r="AH78" s="862"/>
      <c r="AI78" s="862"/>
      <c r="AJ78" s="862"/>
      <c r="AK78" s="862"/>
      <c r="AL78" s="862"/>
      <c r="AM78" s="862"/>
      <c r="AN78" s="862"/>
      <c r="AO78" s="862"/>
      <c r="AP78" s="862"/>
      <c r="AQ78" s="862"/>
      <c r="AR78" s="862"/>
      <c r="AS78" s="862"/>
      <c r="AT78" s="862"/>
      <c r="AU78" s="862"/>
      <c r="AV78" s="862"/>
      <c r="AW78" s="862"/>
      <c r="AX78" s="862"/>
      <c r="AY78" s="862"/>
      <c r="AZ78" s="862"/>
      <c r="BA78" s="862"/>
      <c r="BB78" s="862"/>
      <c r="BC78" s="862"/>
    </row>
    <row r="79" spans="1:55" s="62" customFormat="1" ht="77.25" customHeight="1" x14ac:dyDescent="0.3">
      <c r="A79" s="1081"/>
      <c r="B79" s="763" t="s">
        <v>3</v>
      </c>
      <c r="C79" s="243" t="s">
        <v>644</v>
      </c>
      <c r="D79" s="882">
        <v>336220</v>
      </c>
      <c r="E79" s="882">
        <v>0</v>
      </c>
      <c r="F79" s="74">
        <v>336220</v>
      </c>
      <c r="G79" s="81">
        <v>0</v>
      </c>
      <c r="H79" s="81">
        <v>3220</v>
      </c>
      <c r="I79" s="81">
        <v>0</v>
      </c>
      <c r="J79" s="81">
        <v>4000</v>
      </c>
      <c r="K79" s="81">
        <v>3000</v>
      </c>
      <c r="L79" s="81">
        <v>0</v>
      </c>
      <c r="M79" s="81">
        <v>33000</v>
      </c>
      <c r="N79" s="81">
        <v>23000</v>
      </c>
      <c r="O79" s="81">
        <v>33000</v>
      </c>
      <c r="P79" s="81">
        <v>23000</v>
      </c>
      <c r="Q79" s="81">
        <v>25000</v>
      </c>
      <c r="R79" s="876">
        <v>147220</v>
      </c>
      <c r="S79" s="81">
        <v>11000</v>
      </c>
      <c r="T79" s="81">
        <v>17000</v>
      </c>
      <c r="U79" s="81">
        <v>17000</v>
      </c>
      <c r="V79" s="81">
        <v>17000</v>
      </c>
      <c r="W79" s="81">
        <v>23000</v>
      </c>
      <c r="X79" s="81">
        <v>17000</v>
      </c>
      <c r="Y79" s="81">
        <v>23000</v>
      </c>
      <c r="Z79" s="81">
        <v>15000</v>
      </c>
      <c r="AA79" s="81">
        <v>23000</v>
      </c>
      <c r="AB79" s="81">
        <v>15000</v>
      </c>
      <c r="AC79" s="81">
        <v>11000</v>
      </c>
      <c r="AD79" s="81">
        <v>189000</v>
      </c>
      <c r="AE79" s="862"/>
      <c r="AF79" s="862"/>
      <c r="AG79" s="862"/>
      <c r="AH79" s="862"/>
      <c r="AI79" s="862"/>
      <c r="AJ79" s="862"/>
      <c r="AK79" s="862"/>
      <c r="AL79" s="862"/>
      <c r="AM79" s="862"/>
      <c r="AN79" s="862"/>
      <c r="AO79" s="862"/>
      <c r="AP79" s="862"/>
      <c r="AQ79" s="862"/>
      <c r="AR79" s="862"/>
      <c r="AS79" s="862"/>
      <c r="AT79" s="862"/>
      <c r="AU79" s="862"/>
      <c r="AV79" s="862"/>
      <c r="AW79" s="862"/>
      <c r="AX79" s="862"/>
      <c r="AY79" s="862"/>
      <c r="AZ79" s="862"/>
      <c r="BA79" s="862"/>
      <c r="BB79" s="862"/>
      <c r="BC79" s="862"/>
    </row>
    <row r="80" spans="1:55" s="62" customFormat="1" ht="96" customHeight="1" x14ac:dyDescent="0.3">
      <c r="A80" s="1081"/>
      <c r="B80" s="763" t="s">
        <v>4</v>
      </c>
      <c r="C80" s="243" t="s">
        <v>391</v>
      </c>
      <c r="D80" s="882">
        <v>300000</v>
      </c>
      <c r="E80" s="882">
        <v>0</v>
      </c>
      <c r="F80" s="74">
        <v>300000</v>
      </c>
      <c r="G80" s="81">
        <v>0</v>
      </c>
      <c r="H80" s="81">
        <v>0</v>
      </c>
      <c r="I80" s="81">
        <v>0</v>
      </c>
      <c r="J80" s="81">
        <v>0</v>
      </c>
      <c r="K80" s="81">
        <v>0</v>
      </c>
      <c r="L80" s="81">
        <v>0</v>
      </c>
      <c r="M80" s="81">
        <v>0</v>
      </c>
      <c r="N80" s="81">
        <v>72863.5</v>
      </c>
      <c r="O80" s="81">
        <v>0</v>
      </c>
      <c r="P80" s="81">
        <v>0</v>
      </c>
      <c r="Q80" s="81">
        <v>0</v>
      </c>
      <c r="R80" s="876">
        <v>72863.5</v>
      </c>
      <c r="S80" s="81">
        <v>0</v>
      </c>
      <c r="T80" s="81">
        <v>0</v>
      </c>
      <c r="U80" s="81">
        <v>77136.5</v>
      </c>
      <c r="V80" s="81">
        <v>0</v>
      </c>
      <c r="W80" s="81">
        <v>0</v>
      </c>
      <c r="X80" s="81">
        <v>150000</v>
      </c>
      <c r="Y80" s="81">
        <v>0</v>
      </c>
      <c r="Z80" s="81">
        <v>0</v>
      </c>
      <c r="AA80" s="81">
        <v>0</v>
      </c>
      <c r="AB80" s="81">
        <v>0</v>
      </c>
      <c r="AC80" s="81">
        <v>0</v>
      </c>
      <c r="AD80" s="81">
        <v>227136.5</v>
      </c>
      <c r="AE80" s="862"/>
      <c r="AF80" s="862"/>
      <c r="AG80" s="862"/>
      <c r="AH80" s="862"/>
      <c r="AI80" s="862"/>
      <c r="AJ80" s="862"/>
      <c r="AK80" s="862"/>
      <c r="AL80" s="862"/>
      <c r="AM80" s="862"/>
      <c r="AN80" s="862"/>
      <c r="AO80" s="862"/>
      <c r="AP80" s="862"/>
      <c r="AQ80" s="862"/>
      <c r="AR80" s="862"/>
      <c r="AS80" s="862"/>
      <c r="AT80" s="862"/>
      <c r="AU80" s="862"/>
      <c r="AV80" s="862"/>
      <c r="AW80" s="862"/>
      <c r="AX80" s="862"/>
      <c r="AY80" s="862"/>
      <c r="AZ80" s="862"/>
      <c r="BA80" s="862"/>
      <c r="BB80" s="862"/>
      <c r="BC80" s="862"/>
    </row>
    <row r="81" spans="1:55" s="62" customFormat="1" ht="106.5" customHeight="1" x14ac:dyDescent="0.3">
      <c r="A81" s="1082"/>
      <c r="B81" s="763" t="s">
        <v>8</v>
      </c>
      <c r="C81" s="243" t="s">
        <v>392</v>
      </c>
      <c r="D81" s="882">
        <v>0</v>
      </c>
      <c r="E81" s="882">
        <v>300000</v>
      </c>
      <c r="F81" s="74">
        <v>300000</v>
      </c>
      <c r="G81" s="81">
        <v>0</v>
      </c>
      <c r="H81" s="81">
        <v>0</v>
      </c>
      <c r="I81" s="81">
        <v>0</v>
      </c>
      <c r="J81" s="81">
        <v>0</v>
      </c>
      <c r="K81" s="81">
        <v>0</v>
      </c>
      <c r="L81" s="81">
        <v>0</v>
      </c>
      <c r="M81" s="81">
        <v>0</v>
      </c>
      <c r="N81" s="81">
        <v>150000</v>
      </c>
      <c r="O81" s="81">
        <v>0</v>
      </c>
      <c r="P81" s="81">
        <v>0</v>
      </c>
      <c r="Q81" s="81">
        <v>0</v>
      </c>
      <c r="R81" s="875">
        <v>150000</v>
      </c>
      <c r="S81" s="61">
        <v>0</v>
      </c>
      <c r="T81" s="61">
        <v>0</v>
      </c>
      <c r="U81" s="61">
        <v>0</v>
      </c>
      <c r="V81" s="61">
        <v>0</v>
      </c>
      <c r="W81" s="61">
        <v>0</v>
      </c>
      <c r="X81" s="61">
        <v>150000</v>
      </c>
      <c r="Y81" s="61">
        <v>0</v>
      </c>
      <c r="Z81" s="61">
        <v>0</v>
      </c>
      <c r="AA81" s="61">
        <v>0</v>
      </c>
      <c r="AB81" s="61">
        <v>0</v>
      </c>
      <c r="AC81" s="61">
        <v>0</v>
      </c>
      <c r="AD81" s="61">
        <v>150000</v>
      </c>
      <c r="AE81" s="862"/>
      <c r="AF81" s="862"/>
      <c r="AG81" s="862"/>
      <c r="AH81" s="862"/>
      <c r="AI81" s="862"/>
      <c r="AJ81" s="862"/>
      <c r="AK81" s="862"/>
      <c r="AL81" s="862"/>
      <c r="AM81" s="862"/>
      <c r="AN81" s="862"/>
      <c r="AO81" s="862"/>
      <c r="AP81" s="862"/>
      <c r="AQ81" s="862"/>
      <c r="AR81" s="862"/>
      <c r="AS81" s="862"/>
      <c r="AT81" s="862"/>
      <c r="AU81" s="862"/>
      <c r="AV81" s="862"/>
      <c r="AW81" s="862"/>
      <c r="AX81" s="862"/>
      <c r="AY81" s="862"/>
      <c r="AZ81" s="862"/>
      <c r="BA81" s="862"/>
      <c r="BB81" s="862"/>
      <c r="BC81" s="862"/>
    </row>
    <row r="82" spans="1:55" s="67" customFormat="1" ht="40.5" customHeight="1" x14ac:dyDescent="0.3">
      <c r="A82" s="237" t="s">
        <v>820</v>
      </c>
      <c r="B82" s="233"/>
      <c r="C82" s="772"/>
      <c r="D82" s="772"/>
      <c r="E82" s="772"/>
      <c r="F82" s="773"/>
      <c r="G82" s="220"/>
      <c r="H82" s="220"/>
      <c r="I82" s="220"/>
      <c r="J82" s="220"/>
      <c r="K82" s="220"/>
      <c r="L82" s="220"/>
      <c r="M82" s="220"/>
      <c r="N82" s="220"/>
      <c r="O82" s="220"/>
      <c r="P82" s="220"/>
      <c r="Q82" s="220"/>
      <c r="R82" s="247">
        <v>0</v>
      </c>
      <c r="S82" s="220"/>
      <c r="T82" s="220"/>
      <c r="U82" s="220"/>
      <c r="V82" s="220"/>
      <c r="W82" s="220"/>
      <c r="X82" s="220"/>
      <c r="Y82" s="220"/>
      <c r="Z82" s="220"/>
      <c r="AA82" s="220"/>
      <c r="AB82" s="220"/>
      <c r="AC82" s="220"/>
      <c r="AD82" s="247">
        <v>0</v>
      </c>
      <c r="AE82" s="663"/>
      <c r="AF82" s="663"/>
      <c r="AG82" s="663"/>
      <c r="AH82" s="663"/>
      <c r="AI82" s="663"/>
      <c r="AJ82" s="663"/>
      <c r="AK82" s="663"/>
      <c r="AL82" s="663"/>
      <c r="AM82" s="663"/>
      <c r="AN82" s="663"/>
      <c r="AO82" s="663"/>
      <c r="AP82" s="663"/>
      <c r="AQ82" s="663"/>
      <c r="AR82" s="663"/>
      <c r="AS82" s="663"/>
      <c r="AT82" s="663"/>
      <c r="AU82" s="663"/>
      <c r="AV82" s="663"/>
      <c r="AW82" s="663"/>
      <c r="AX82" s="663"/>
      <c r="AY82" s="663"/>
      <c r="AZ82" s="663"/>
      <c r="BA82" s="663"/>
      <c r="BB82" s="663"/>
      <c r="BC82" s="663"/>
    </row>
    <row r="83" spans="1:55" s="67" customFormat="1" ht="43.5" customHeight="1" x14ac:dyDescent="0.3">
      <c r="A83" s="238" t="s">
        <v>821</v>
      </c>
      <c r="B83" s="239"/>
      <c r="C83" s="777"/>
      <c r="D83" s="777"/>
      <c r="E83" s="777"/>
      <c r="F83" s="778"/>
      <c r="G83" s="222"/>
      <c r="H83" s="222"/>
      <c r="I83" s="222"/>
      <c r="J83" s="222"/>
      <c r="K83" s="222"/>
      <c r="L83" s="222"/>
      <c r="M83" s="222"/>
      <c r="N83" s="222"/>
      <c r="O83" s="222"/>
      <c r="P83" s="222"/>
      <c r="Q83" s="222"/>
      <c r="R83" s="248">
        <v>0</v>
      </c>
      <c r="S83" s="222"/>
      <c r="T83" s="222"/>
      <c r="U83" s="222"/>
      <c r="V83" s="222"/>
      <c r="W83" s="222"/>
      <c r="X83" s="222"/>
      <c r="Y83" s="222"/>
      <c r="Z83" s="222"/>
      <c r="AA83" s="222"/>
      <c r="AB83" s="222"/>
      <c r="AC83" s="222"/>
      <c r="AD83" s="248">
        <v>0</v>
      </c>
      <c r="AE83" s="663"/>
      <c r="AF83" s="663"/>
      <c r="AG83" s="663"/>
      <c r="AH83" s="663"/>
      <c r="AI83" s="663"/>
      <c r="AJ83" s="663"/>
      <c r="AK83" s="663"/>
      <c r="AL83" s="663"/>
      <c r="AM83" s="663"/>
      <c r="AN83" s="663"/>
      <c r="AO83" s="663"/>
      <c r="AP83" s="663"/>
      <c r="AQ83" s="663"/>
      <c r="AR83" s="663"/>
      <c r="AS83" s="663"/>
      <c r="AT83" s="663"/>
      <c r="AU83" s="663"/>
      <c r="AV83" s="663"/>
      <c r="AW83" s="663"/>
      <c r="AX83" s="663"/>
      <c r="AY83" s="663"/>
      <c r="AZ83" s="663"/>
      <c r="BA83" s="663"/>
      <c r="BB83" s="663"/>
      <c r="BC83" s="663"/>
    </row>
    <row r="84" spans="1:55" ht="25.5" customHeight="1" x14ac:dyDescent="0.3">
      <c r="A84" s="1080" t="s">
        <v>593</v>
      </c>
      <c r="B84" s="40"/>
      <c r="C84" s="108"/>
      <c r="D84" s="70">
        <v>912500</v>
      </c>
      <c r="E84" s="70">
        <v>0</v>
      </c>
      <c r="F84" s="70">
        <v>912500</v>
      </c>
      <c r="G84" s="70">
        <v>22000</v>
      </c>
      <c r="H84" s="70">
        <v>22000</v>
      </c>
      <c r="I84" s="70">
        <v>11000</v>
      </c>
      <c r="J84" s="70">
        <v>76500</v>
      </c>
      <c r="K84" s="70">
        <v>22000</v>
      </c>
      <c r="L84" s="70">
        <v>22000</v>
      </c>
      <c r="M84" s="70">
        <v>122000</v>
      </c>
      <c r="N84" s="70">
        <v>52000</v>
      </c>
      <c r="O84" s="70">
        <v>42000</v>
      </c>
      <c r="P84" s="70">
        <v>102000</v>
      </c>
      <c r="Q84" s="70">
        <v>22000</v>
      </c>
      <c r="R84" s="70">
        <v>515500</v>
      </c>
      <c r="S84" s="70">
        <v>17000</v>
      </c>
      <c r="T84" s="70">
        <v>37000</v>
      </c>
      <c r="U84" s="70">
        <v>37000</v>
      </c>
      <c r="V84" s="70">
        <v>97000</v>
      </c>
      <c r="W84" s="70">
        <v>27000</v>
      </c>
      <c r="X84" s="70">
        <v>27000</v>
      </c>
      <c r="Y84" s="70">
        <v>27000</v>
      </c>
      <c r="Z84" s="70">
        <v>27000</v>
      </c>
      <c r="AA84" s="70">
        <v>67000</v>
      </c>
      <c r="AB84" s="70">
        <v>17000</v>
      </c>
      <c r="AC84" s="70">
        <v>17000</v>
      </c>
      <c r="AD84" s="70">
        <v>397000</v>
      </c>
    </row>
    <row r="85" spans="1:55" s="62" customFormat="1" ht="138.75" customHeight="1" x14ac:dyDescent="0.3">
      <c r="A85" s="1081"/>
      <c r="B85" s="763" t="s">
        <v>2</v>
      </c>
      <c r="C85" s="245" t="s">
        <v>184</v>
      </c>
      <c r="D85" s="881">
        <v>412500</v>
      </c>
      <c r="E85" s="881">
        <v>0</v>
      </c>
      <c r="F85" s="236">
        <v>412500</v>
      </c>
      <c r="G85" s="61">
        <v>22000</v>
      </c>
      <c r="H85" s="61">
        <v>22000</v>
      </c>
      <c r="I85" s="61">
        <v>11000</v>
      </c>
      <c r="J85" s="61">
        <v>16500</v>
      </c>
      <c r="K85" s="61">
        <v>22000</v>
      </c>
      <c r="L85" s="61">
        <v>22000</v>
      </c>
      <c r="M85" s="61">
        <v>22000</v>
      </c>
      <c r="N85" s="61">
        <v>22000</v>
      </c>
      <c r="O85" s="61">
        <v>22000</v>
      </c>
      <c r="P85" s="61">
        <v>22000</v>
      </c>
      <c r="Q85" s="61">
        <v>22000</v>
      </c>
      <c r="R85" s="875">
        <v>225500</v>
      </c>
      <c r="S85" s="61">
        <v>17000</v>
      </c>
      <c r="T85" s="61">
        <v>17000</v>
      </c>
      <c r="U85" s="61">
        <v>17000</v>
      </c>
      <c r="V85" s="61">
        <v>17000</v>
      </c>
      <c r="W85" s="61">
        <v>17000</v>
      </c>
      <c r="X85" s="61">
        <v>17000</v>
      </c>
      <c r="Y85" s="61">
        <v>17000</v>
      </c>
      <c r="Z85" s="61">
        <v>17000</v>
      </c>
      <c r="AA85" s="61">
        <v>17000</v>
      </c>
      <c r="AB85" s="61">
        <v>17000</v>
      </c>
      <c r="AC85" s="61">
        <v>17000</v>
      </c>
      <c r="AD85" s="61">
        <v>187000</v>
      </c>
      <c r="AE85" s="862"/>
      <c r="AF85" s="862"/>
      <c r="AG85" s="862"/>
      <c r="AH85" s="862"/>
      <c r="AI85" s="862"/>
      <c r="AJ85" s="862"/>
      <c r="AK85" s="862"/>
      <c r="AL85" s="862"/>
      <c r="AM85" s="862"/>
      <c r="AN85" s="862"/>
      <c r="AO85" s="862"/>
      <c r="AP85" s="862"/>
      <c r="AQ85" s="862"/>
      <c r="AR85" s="862"/>
      <c r="AS85" s="862"/>
      <c r="AT85" s="862"/>
      <c r="AU85" s="862"/>
      <c r="AV85" s="862"/>
      <c r="AW85" s="862"/>
      <c r="AX85" s="862"/>
      <c r="AY85" s="862"/>
      <c r="AZ85" s="862"/>
      <c r="BA85" s="862"/>
      <c r="BB85" s="862"/>
      <c r="BC85" s="862"/>
    </row>
    <row r="86" spans="1:55" s="62" customFormat="1" ht="130.5" customHeight="1" x14ac:dyDescent="0.3">
      <c r="A86" s="1082"/>
      <c r="B86" s="763" t="s">
        <v>3</v>
      </c>
      <c r="C86" s="243" t="s">
        <v>222</v>
      </c>
      <c r="D86" s="881">
        <v>500000</v>
      </c>
      <c r="E86" s="881">
        <v>0</v>
      </c>
      <c r="F86" s="236">
        <v>500000</v>
      </c>
      <c r="G86" s="61">
        <v>0</v>
      </c>
      <c r="H86" s="61">
        <v>0</v>
      </c>
      <c r="I86" s="61">
        <v>0</v>
      </c>
      <c r="J86" s="61">
        <v>60000</v>
      </c>
      <c r="K86" s="61">
        <v>0</v>
      </c>
      <c r="L86" s="61">
        <v>0</v>
      </c>
      <c r="M86" s="61">
        <v>100000</v>
      </c>
      <c r="N86" s="61">
        <v>30000</v>
      </c>
      <c r="O86" s="61">
        <v>20000</v>
      </c>
      <c r="P86" s="61">
        <v>80000</v>
      </c>
      <c r="Q86" s="61">
        <v>0</v>
      </c>
      <c r="R86" s="875">
        <v>290000</v>
      </c>
      <c r="S86" s="61">
        <v>0</v>
      </c>
      <c r="T86" s="61">
        <v>20000</v>
      </c>
      <c r="U86" s="61">
        <v>20000</v>
      </c>
      <c r="V86" s="61">
        <v>80000</v>
      </c>
      <c r="W86" s="61">
        <v>10000</v>
      </c>
      <c r="X86" s="61">
        <v>10000</v>
      </c>
      <c r="Y86" s="61">
        <v>10000</v>
      </c>
      <c r="Z86" s="61">
        <v>10000</v>
      </c>
      <c r="AA86" s="61">
        <v>50000</v>
      </c>
      <c r="AB86" s="61">
        <v>0</v>
      </c>
      <c r="AC86" s="61">
        <v>0</v>
      </c>
      <c r="AD86" s="61">
        <v>210000</v>
      </c>
      <c r="AE86" s="862"/>
      <c r="AF86" s="862"/>
      <c r="AG86" s="862"/>
      <c r="AH86" s="862"/>
      <c r="AI86" s="862"/>
      <c r="AJ86" s="862"/>
      <c r="AK86" s="862"/>
      <c r="AL86" s="862"/>
      <c r="AM86" s="862"/>
      <c r="AN86" s="862"/>
      <c r="AO86" s="862"/>
      <c r="AP86" s="862"/>
      <c r="AQ86" s="862"/>
      <c r="AR86" s="862"/>
      <c r="AS86" s="862"/>
      <c r="AT86" s="862"/>
      <c r="AU86" s="862"/>
      <c r="AV86" s="862"/>
      <c r="AW86" s="862"/>
      <c r="AX86" s="862"/>
      <c r="AY86" s="862"/>
      <c r="AZ86" s="862"/>
      <c r="BA86" s="862"/>
      <c r="BB86" s="862"/>
      <c r="BC86" s="862"/>
    </row>
    <row r="87" spans="1:55" s="67" customFormat="1" ht="39.75" customHeight="1" x14ac:dyDescent="0.3">
      <c r="A87" s="237" t="s">
        <v>822</v>
      </c>
      <c r="B87" s="233"/>
      <c r="C87" s="772"/>
      <c r="D87" s="772"/>
      <c r="E87" s="772"/>
      <c r="F87" s="773"/>
      <c r="G87" s="220"/>
      <c r="H87" s="220"/>
      <c r="I87" s="220"/>
      <c r="J87" s="220"/>
      <c r="K87" s="220"/>
      <c r="L87" s="220"/>
      <c r="M87" s="220"/>
      <c r="N87" s="220"/>
      <c r="O87" s="220"/>
      <c r="P87" s="220"/>
      <c r="Q87" s="220"/>
      <c r="R87" s="247">
        <v>0</v>
      </c>
      <c r="S87" s="220"/>
      <c r="T87" s="220"/>
      <c r="U87" s="220"/>
      <c r="V87" s="220"/>
      <c r="W87" s="220"/>
      <c r="X87" s="220"/>
      <c r="Y87" s="220"/>
      <c r="Z87" s="220"/>
      <c r="AA87" s="220"/>
      <c r="AB87" s="220"/>
      <c r="AC87" s="220"/>
      <c r="AD87" s="247">
        <v>0</v>
      </c>
      <c r="AE87" s="663"/>
      <c r="AF87" s="663"/>
      <c r="AG87" s="663"/>
      <c r="AH87" s="663"/>
      <c r="AI87" s="663"/>
      <c r="AJ87" s="663"/>
      <c r="AK87" s="663"/>
      <c r="AL87" s="663"/>
      <c r="AM87" s="663"/>
      <c r="AN87" s="663"/>
      <c r="AO87" s="663"/>
      <c r="AP87" s="663"/>
      <c r="AQ87" s="663"/>
      <c r="AR87" s="663"/>
      <c r="AS87" s="663"/>
      <c r="AT87" s="663"/>
      <c r="AU87" s="663"/>
      <c r="AV87" s="663"/>
      <c r="AW87" s="663"/>
      <c r="AX87" s="663"/>
      <c r="AY87" s="663"/>
      <c r="AZ87" s="663"/>
      <c r="BA87" s="663"/>
      <c r="BB87" s="663"/>
      <c r="BC87" s="663"/>
    </row>
    <row r="88" spans="1:55" s="67" customFormat="1" ht="47.25" customHeight="1" x14ac:dyDescent="0.3">
      <c r="A88" s="238" t="s">
        <v>823</v>
      </c>
      <c r="B88" s="239"/>
      <c r="C88" s="777"/>
      <c r="D88" s="777"/>
      <c r="E88" s="777"/>
      <c r="F88" s="778"/>
      <c r="G88" s="222"/>
      <c r="H88" s="222"/>
      <c r="I88" s="222"/>
      <c r="J88" s="222"/>
      <c r="K88" s="222"/>
      <c r="L88" s="222"/>
      <c r="M88" s="222"/>
      <c r="N88" s="222"/>
      <c r="O88" s="222"/>
      <c r="P88" s="222"/>
      <c r="Q88" s="222"/>
      <c r="R88" s="248">
        <v>0</v>
      </c>
      <c r="S88" s="222"/>
      <c r="T88" s="222"/>
      <c r="U88" s="222"/>
      <c r="V88" s="222"/>
      <c r="W88" s="222"/>
      <c r="X88" s="222"/>
      <c r="Y88" s="222"/>
      <c r="Z88" s="222"/>
      <c r="AA88" s="222"/>
      <c r="AB88" s="222"/>
      <c r="AC88" s="222"/>
      <c r="AD88" s="248">
        <v>0</v>
      </c>
      <c r="AE88" s="663"/>
      <c r="AF88" s="663"/>
      <c r="AG88" s="663"/>
      <c r="AH88" s="663"/>
      <c r="AI88" s="663"/>
      <c r="AJ88" s="663"/>
      <c r="AK88" s="663"/>
      <c r="AL88" s="663"/>
      <c r="AM88" s="663"/>
      <c r="AN88" s="663"/>
      <c r="AO88" s="663"/>
      <c r="AP88" s="663"/>
      <c r="AQ88" s="663"/>
      <c r="AR88" s="663"/>
      <c r="AS88" s="663"/>
      <c r="AT88" s="663"/>
      <c r="AU88" s="663"/>
      <c r="AV88" s="663"/>
      <c r="AW88" s="663"/>
      <c r="AX88" s="663"/>
      <c r="AY88" s="663"/>
      <c r="AZ88" s="663"/>
      <c r="BA88" s="663"/>
      <c r="BB88" s="663"/>
      <c r="BC88" s="663"/>
    </row>
    <row r="89" spans="1:55" ht="24" customHeight="1" x14ac:dyDescent="0.3">
      <c r="A89" s="1080" t="s">
        <v>94</v>
      </c>
      <c r="B89" s="40"/>
      <c r="C89" s="108"/>
      <c r="D89" s="70">
        <v>377000</v>
      </c>
      <c r="E89" s="70">
        <v>343416.08999999997</v>
      </c>
      <c r="F89" s="70">
        <v>720416.09</v>
      </c>
      <c r="G89" s="70">
        <v>0</v>
      </c>
      <c r="H89" s="70">
        <v>0</v>
      </c>
      <c r="I89" s="70">
        <v>0</v>
      </c>
      <c r="J89" s="70">
        <v>15000</v>
      </c>
      <c r="K89" s="70">
        <v>0</v>
      </c>
      <c r="L89" s="70">
        <v>0</v>
      </c>
      <c r="M89" s="70">
        <v>82000</v>
      </c>
      <c r="N89" s="70">
        <v>81000</v>
      </c>
      <c r="O89" s="70">
        <v>46000</v>
      </c>
      <c r="P89" s="70">
        <v>6000</v>
      </c>
      <c r="Q89" s="70">
        <v>6000</v>
      </c>
      <c r="R89" s="99">
        <v>236000</v>
      </c>
      <c r="S89" s="70">
        <v>6000</v>
      </c>
      <c r="T89" s="70">
        <v>193566.09</v>
      </c>
      <c r="U89" s="70">
        <v>106000</v>
      </c>
      <c r="V89" s="70">
        <v>136850</v>
      </c>
      <c r="W89" s="70">
        <v>6000</v>
      </c>
      <c r="X89" s="70">
        <v>21000</v>
      </c>
      <c r="Y89" s="70">
        <v>15000</v>
      </c>
      <c r="Z89" s="70">
        <v>0</v>
      </c>
      <c r="AA89" s="70">
        <v>0</v>
      </c>
      <c r="AB89" s="70">
        <v>0</v>
      </c>
      <c r="AC89" s="70">
        <v>0</v>
      </c>
      <c r="AD89" s="70">
        <v>484416.08999999997</v>
      </c>
    </row>
    <row r="90" spans="1:55" s="62" customFormat="1" ht="114.75" customHeight="1" x14ac:dyDescent="0.3">
      <c r="A90" s="1081"/>
      <c r="B90" s="763" t="s">
        <v>2</v>
      </c>
      <c r="C90" s="243" t="s">
        <v>852</v>
      </c>
      <c r="D90" s="881">
        <v>202000</v>
      </c>
      <c r="E90" s="881">
        <v>0</v>
      </c>
      <c r="F90" s="236">
        <v>202000</v>
      </c>
      <c r="G90" s="61">
        <v>0</v>
      </c>
      <c r="H90" s="61">
        <v>0</v>
      </c>
      <c r="I90" s="61">
        <v>0</v>
      </c>
      <c r="J90" s="61">
        <v>15000</v>
      </c>
      <c r="K90" s="61">
        <v>0</v>
      </c>
      <c r="L90" s="61">
        <v>0</v>
      </c>
      <c r="M90" s="61">
        <v>32000</v>
      </c>
      <c r="N90" s="61">
        <v>6000</v>
      </c>
      <c r="O90" s="61">
        <v>46000</v>
      </c>
      <c r="P90" s="61">
        <v>6000</v>
      </c>
      <c r="Q90" s="61">
        <v>6000</v>
      </c>
      <c r="R90" s="875">
        <v>111000</v>
      </c>
      <c r="S90" s="61">
        <v>6000</v>
      </c>
      <c r="T90" s="61">
        <v>6000</v>
      </c>
      <c r="U90" s="61">
        <v>31000</v>
      </c>
      <c r="V90" s="61">
        <v>6000</v>
      </c>
      <c r="W90" s="61">
        <v>6000</v>
      </c>
      <c r="X90" s="61">
        <v>21000</v>
      </c>
      <c r="Y90" s="61">
        <v>15000</v>
      </c>
      <c r="Z90" s="61">
        <v>0</v>
      </c>
      <c r="AA90" s="61">
        <v>0</v>
      </c>
      <c r="AB90" s="61">
        <v>0</v>
      </c>
      <c r="AC90" s="61">
        <v>0</v>
      </c>
      <c r="AD90" s="61">
        <v>91000</v>
      </c>
      <c r="AE90" s="862"/>
      <c r="AF90" s="862"/>
      <c r="AG90" s="862"/>
      <c r="AH90" s="862"/>
      <c r="AI90" s="862"/>
      <c r="AJ90" s="862"/>
      <c r="AK90" s="862"/>
      <c r="AL90" s="862"/>
      <c r="AM90" s="862"/>
      <c r="AN90" s="862"/>
      <c r="AO90" s="862"/>
      <c r="AP90" s="862"/>
      <c r="AQ90" s="862"/>
      <c r="AR90" s="862"/>
      <c r="AS90" s="862"/>
      <c r="AT90" s="862"/>
      <c r="AU90" s="862"/>
      <c r="AV90" s="862"/>
      <c r="AW90" s="862"/>
      <c r="AX90" s="862"/>
      <c r="AY90" s="862"/>
      <c r="AZ90" s="862"/>
      <c r="BA90" s="862"/>
      <c r="BB90" s="862"/>
      <c r="BC90" s="862"/>
    </row>
    <row r="91" spans="1:55" s="118" customFormat="1" ht="106.5" customHeight="1" x14ac:dyDescent="0.3">
      <c r="A91" s="1081"/>
      <c r="B91" s="763" t="s">
        <v>3</v>
      </c>
      <c r="C91" s="243" t="s">
        <v>188</v>
      </c>
      <c r="D91" s="882">
        <v>175000</v>
      </c>
      <c r="E91" s="882">
        <v>0</v>
      </c>
      <c r="F91" s="74">
        <v>175000</v>
      </c>
      <c r="G91" s="164">
        <v>0</v>
      </c>
      <c r="H91" s="164">
        <v>0</v>
      </c>
      <c r="I91" s="164">
        <v>0</v>
      </c>
      <c r="J91" s="164">
        <v>0</v>
      </c>
      <c r="K91" s="164">
        <v>0</v>
      </c>
      <c r="L91" s="164">
        <v>0</v>
      </c>
      <c r="M91" s="164">
        <v>50000</v>
      </c>
      <c r="N91" s="164">
        <v>50000</v>
      </c>
      <c r="O91" s="164">
        <v>0</v>
      </c>
      <c r="P91" s="164">
        <v>0</v>
      </c>
      <c r="Q91" s="164">
        <v>0</v>
      </c>
      <c r="R91" s="877">
        <v>100000</v>
      </c>
      <c r="S91" s="164">
        <v>0</v>
      </c>
      <c r="T91" s="164">
        <v>0</v>
      </c>
      <c r="U91" s="164">
        <v>75000</v>
      </c>
      <c r="V91" s="164">
        <v>0</v>
      </c>
      <c r="W91" s="164">
        <v>0</v>
      </c>
      <c r="X91" s="164">
        <v>0</v>
      </c>
      <c r="Y91" s="164">
        <v>0</v>
      </c>
      <c r="Z91" s="164">
        <v>0</v>
      </c>
      <c r="AA91" s="164">
        <v>0</v>
      </c>
      <c r="AB91" s="164">
        <v>0</v>
      </c>
      <c r="AC91" s="164">
        <v>0</v>
      </c>
      <c r="AD91" s="164">
        <v>75000</v>
      </c>
      <c r="AE91" s="864"/>
      <c r="AF91" s="864"/>
      <c r="AG91" s="864"/>
      <c r="AH91" s="864"/>
      <c r="AI91" s="864"/>
      <c r="AJ91" s="864"/>
      <c r="AK91" s="864"/>
      <c r="AL91" s="864"/>
      <c r="AM91" s="864"/>
      <c r="AN91" s="864"/>
      <c r="AO91" s="864"/>
      <c r="AP91" s="864"/>
      <c r="AQ91" s="864"/>
      <c r="AR91" s="864"/>
      <c r="AS91" s="864"/>
      <c r="AT91" s="864"/>
      <c r="AU91" s="864"/>
      <c r="AV91" s="864"/>
      <c r="AW91" s="864"/>
      <c r="AX91" s="864"/>
      <c r="AY91" s="864"/>
      <c r="AZ91" s="864"/>
      <c r="BA91" s="864"/>
      <c r="BB91" s="864"/>
      <c r="BC91" s="864"/>
    </row>
    <row r="92" spans="1:55" s="118" customFormat="1" ht="72.75" customHeight="1" x14ac:dyDescent="0.3">
      <c r="A92" s="1081"/>
      <c r="B92" s="763" t="s">
        <v>4</v>
      </c>
      <c r="C92" s="243" t="s">
        <v>181</v>
      </c>
      <c r="D92" s="882">
        <v>0</v>
      </c>
      <c r="E92" s="882">
        <v>155566.09</v>
      </c>
      <c r="F92" s="74">
        <v>155566.09</v>
      </c>
      <c r="G92" s="164">
        <v>0</v>
      </c>
      <c r="H92" s="164">
        <v>0</v>
      </c>
      <c r="I92" s="164">
        <v>0</v>
      </c>
      <c r="J92" s="164">
        <v>0</v>
      </c>
      <c r="K92" s="164">
        <v>0</v>
      </c>
      <c r="L92" s="164">
        <v>0</v>
      </c>
      <c r="M92" s="164">
        <v>0</v>
      </c>
      <c r="N92" s="164">
        <v>25000</v>
      </c>
      <c r="O92" s="164">
        <v>0</v>
      </c>
      <c r="P92" s="164">
        <v>0</v>
      </c>
      <c r="Q92" s="164">
        <v>0</v>
      </c>
      <c r="R92" s="877">
        <v>25000</v>
      </c>
      <c r="S92" s="164">
        <v>0</v>
      </c>
      <c r="T92" s="164">
        <v>115566.09</v>
      </c>
      <c r="U92" s="164">
        <v>0</v>
      </c>
      <c r="V92" s="164">
        <v>15000</v>
      </c>
      <c r="W92" s="164">
        <v>0</v>
      </c>
      <c r="X92" s="164">
        <v>0</v>
      </c>
      <c r="Y92" s="164">
        <v>0</v>
      </c>
      <c r="Z92" s="164">
        <v>0</v>
      </c>
      <c r="AA92" s="164">
        <v>0</v>
      </c>
      <c r="AB92" s="164">
        <v>0</v>
      </c>
      <c r="AC92" s="164">
        <v>0</v>
      </c>
      <c r="AD92" s="164">
        <v>130566.09</v>
      </c>
      <c r="AE92" s="864"/>
      <c r="AF92" s="864"/>
      <c r="AG92" s="864"/>
      <c r="AH92" s="864"/>
      <c r="AI92" s="864"/>
      <c r="AJ92" s="864"/>
      <c r="AK92" s="864"/>
      <c r="AL92" s="864"/>
      <c r="AM92" s="864"/>
      <c r="AN92" s="864"/>
      <c r="AO92" s="864"/>
      <c r="AP92" s="864"/>
      <c r="AQ92" s="864"/>
      <c r="AR92" s="864"/>
      <c r="AS92" s="864"/>
      <c r="AT92" s="864"/>
      <c r="AU92" s="864"/>
      <c r="AV92" s="864"/>
      <c r="AW92" s="864"/>
      <c r="AX92" s="864"/>
      <c r="AY92" s="864"/>
      <c r="AZ92" s="864"/>
      <c r="BA92" s="864"/>
      <c r="BB92" s="864"/>
      <c r="BC92" s="864"/>
    </row>
    <row r="93" spans="1:55" s="118" customFormat="1" ht="69.75" customHeight="1" x14ac:dyDescent="0.3">
      <c r="A93" s="1082"/>
      <c r="B93" s="763" t="s">
        <v>8</v>
      </c>
      <c r="C93" s="243" t="s">
        <v>535</v>
      </c>
      <c r="D93" s="882">
        <v>0</v>
      </c>
      <c r="E93" s="882">
        <v>187850</v>
      </c>
      <c r="F93" s="74">
        <v>187850</v>
      </c>
      <c r="G93" s="81">
        <v>0</v>
      </c>
      <c r="H93" s="81">
        <v>0</v>
      </c>
      <c r="I93" s="81">
        <v>0</v>
      </c>
      <c r="J93" s="81">
        <v>0</v>
      </c>
      <c r="K93" s="81">
        <v>0</v>
      </c>
      <c r="L93" s="81">
        <v>0</v>
      </c>
      <c r="M93" s="81">
        <v>0</v>
      </c>
      <c r="N93" s="81">
        <v>0</v>
      </c>
      <c r="O93" s="81">
        <v>0</v>
      </c>
      <c r="P93" s="81">
        <v>0</v>
      </c>
      <c r="Q93" s="81">
        <v>0</v>
      </c>
      <c r="R93" s="875">
        <v>0</v>
      </c>
      <c r="S93" s="61">
        <v>0</v>
      </c>
      <c r="T93" s="61">
        <v>72000</v>
      </c>
      <c r="U93" s="61">
        <v>0</v>
      </c>
      <c r="V93" s="61">
        <v>115850</v>
      </c>
      <c r="W93" s="61">
        <v>0</v>
      </c>
      <c r="X93" s="61">
        <v>0</v>
      </c>
      <c r="Y93" s="61">
        <v>0</v>
      </c>
      <c r="Z93" s="61">
        <v>0</v>
      </c>
      <c r="AA93" s="61">
        <v>0</v>
      </c>
      <c r="AB93" s="61">
        <v>0</v>
      </c>
      <c r="AC93" s="61">
        <v>0</v>
      </c>
      <c r="AD93" s="61">
        <v>187850</v>
      </c>
      <c r="AE93" s="864"/>
      <c r="AF93" s="864"/>
      <c r="AG93" s="864"/>
      <c r="AH93" s="864"/>
      <c r="AI93" s="864"/>
      <c r="AJ93" s="864"/>
      <c r="AK93" s="864"/>
      <c r="AL93" s="864"/>
      <c r="AM93" s="864"/>
      <c r="AN93" s="864"/>
      <c r="AO93" s="864"/>
      <c r="AP93" s="864"/>
      <c r="AQ93" s="864"/>
      <c r="AR93" s="864"/>
      <c r="AS93" s="864"/>
      <c r="AT93" s="864"/>
      <c r="AU93" s="864"/>
      <c r="AV93" s="864"/>
      <c r="AW93" s="864"/>
      <c r="AX93" s="864"/>
      <c r="AY93" s="864"/>
      <c r="AZ93" s="864"/>
      <c r="BA93" s="864"/>
      <c r="BB93" s="864"/>
      <c r="BC93" s="864"/>
    </row>
    <row r="94" spans="1:55" ht="24" customHeight="1" x14ac:dyDescent="0.3">
      <c r="A94" s="1080" t="s">
        <v>95</v>
      </c>
      <c r="B94" s="40"/>
      <c r="C94" s="108"/>
      <c r="D94" s="70">
        <v>626000</v>
      </c>
      <c r="E94" s="70">
        <v>799704.21</v>
      </c>
      <c r="F94" s="70">
        <v>1425704.21</v>
      </c>
      <c r="G94" s="70">
        <v>0</v>
      </c>
      <c r="H94" s="70">
        <v>0</v>
      </c>
      <c r="I94" s="70">
        <v>0</v>
      </c>
      <c r="J94" s="70">
        <v>15000</v>
      </c>
      <c r="K94" s="70">
        <v>60000</v>
      </c>
      <c r="L94" s="70">
        <v>50000</v>
      </c>
      <c r="M94" s="70">
        <v>41000</v>
      </c>
      <c r="N94" s="70">
        <v>11000</v>
      </c>
      <c r="O94" s="70">
        <v>11000</v>
      </c>
      <c r="P94" s="70">
        <v>265700</v>
      </c>
      <c r="Q94" s="70">
        <v>11000</v>
      </c>
      <c r="R94" s="99">
        <v>464700</v>
      </c>
      <c r="S94" s="70">
        <v>11000</v>
      </c>
      <c r="T94" s="70">
        <v>450654.20999999996</v>
      </c>
      <c r="U94" s="70">
        <v>281350</v>
      </c>
      <c r="V94" s="70">
        <v>11000</v>
      </c>
      <c r="W94" s="70">
        <v>41000</v>
      </c>
      <c r="X94" s="70">
        <v>11000</v>
      </c>
      <c r="Y94" s="70">
        <v>17000</v>
      </c>
      <c r="Z94" s="70">
        <v>37000</v>
      </c>
      <c r="AA94" s="70">
        <v>17000</v>
      </c>
      <c r="AB94" s="70">
        <v>17000</v>
      </c>
      <c r="AC94" s="70">
        <v>67000</v>
      </c>
      <c r="AD94" s="70">
        <v>961004.21</v>
      </c>
    </row>
    <row r="95" spans="1:55" s="62" customFormat="1" ht="146.25" customHeight="1" x14ac:dyDescent="0.3">
      <c r="A95" s="1081"/>
      <c r="B95" s="767" t="s">
        <v>2</v>
      </c>
      <c r="C95" s="232" t="s">
        <v>195</v>
      </c>
      <c r="D95" s="881">
        <v>626000</v>
      </c>
      <c r="E95" s="881">
        <v>0</v>
      </c>
      <c r="F95" s="236">
        <v>626000</v>
      </c>
      <c r="G95" s="61">
        <v>0</v>
      </c>
      <c r="H95" s="61">
        <v>0</v>
      </c>
      <c r="I95" s="61">
        <v>0</v>
      </c>
      <c r="J95" s="61">
        <v>15000</v>
      </c>
      <c r="K95" s="61">
        <v>15000</v>
      </c>
      <c r="L95" s="61">
        <v>50000</v>
      </c>
      <c r="M95" s="61">
        <v>41000</v>
      </c>
      <c r="N95" s="61">
        <v>11000</v>
      </c>
      <c r="O95" s="61">
        <v>11000</v>
      </c>
      <c r="P95" s="61">
        <v>76000</v>
      </c>
      <c r="Q95" s="61">
        <v>11000</v>
      </c>
      <c r="R95" s="875">
        <v>230000</v>
      </c>
      <c r="S95" s="61">
        <v>11000</v>
      </c>
      <c r="T95" s="61">
        <v>76000</v>
      </c>
      <c r="U95" s="61">
        <v>91000</v>
      </c>
      <c r="V95" s="61">
        <v>11000</v>
      </c>
      <c r="W95" s="61">
        <v>41000</v>
      </c>
      <c r="X95" s="61">
        <v>11000</v>
      </c>
      <c r="Y95" s="61">
        <v>17000</v>
      </c>
      <c r="Z95" s="61">
        <v>37000</v>
      </c>
      <c r="AA95" s="61">
        <v>17000</v>
      </c>
      <c r="AB95" s="61">
        <v>17000</v>
      </c>
      <c r="AC95" s="61">
        <v>67000</v>
      </c>
      <c r="AD95" s="61">
        <v>396000</v>
      </c>
      <c r="AE95" s="862"/>
      <c r="AF95" s="862"/>
      <c r="AG95" s="862"/>
      <c r="AH95" s="862"/>
      <c r="AI95" s="862"/>
      <c r="AJ95" s="862"/>
      <c r="AK95" s="862"/>
      <c r="AL95" s="862"/>
      <c r="AM95" s="862"/>
      <c r="AN95" s="862"/>
      <c r="AO95" s="862"/>
      <c r="AP95" s="862"/>
      <c r="AQ95" s="862"/>
      <c r="AR95" s="862"/>
      <c r="AS95" s="862"/>
      <c r="AT95" s="862"/>
      <c r="AU95" s="862"/>
      <c r="AV95" s="862"/>
      <c r="AW95" s="862"/>
      <c r="AX95" s="862"/>
      <c r="AY95" s="862"/>
      <c r="AZ95" s="862"/>
      <c r="BA95" s="862"/>
      <c r="BB95" s="862"/>
      <c r="BC95" s="862"/>
    </row>
    <row r="96" spans="1:55" s="62" customFormat="1" ht="130.5" customHeight="1" x14ac:dyDescent="0.3">
      <c r="A96" s="1082"/>
      <c r="B96" s="776" t="s">
        <v>3</v>
      </c>
      <c r="C96" s="245" t="s">
        <v>538</v>
      </c>
      <c r="D96" s="882">
        <v>0</v>
      </c>
      <c r="E96" s="882">
        <v>799704.21</v>
      </c>
      <c r="F96" s="74">
        <v>799704.21</v>
      </c>
      <c r="G96" s="164">
        <v>0</v>
      </c>
      <c r="H96" s="164">
        <v>0</v>
      </c>
      <c r="I96" s="164">
        <v>0</v>
      </c>
      <c r="J96" s="164">
        <v>0</v>
      </c>
      <c r="K96" s="164">
        <v>45000</v>
      </c>
      <c r="L96" s="164">
        <v>0</v>
      </c>
      <c r="M96" s="164">
        <v>0</v>
      </c>
      <c r="N96" s="164">
        <v>0</v>
      </c>
      <c r="O96" s="164">
        <v>0</v>
      </c>
      <c r="P96" s="164">
        <v>189700</v>
      </c>
      <c r="Q96" s="164">
        <v>0</v>
      </c>
      <c r="R96" s="878">
        <v>234700</v>
      </c>
      <c r="S96" s="164">
        <v>0</v>
      </c>
      <c r="T96" s="164">
        <v>374654.20999999996</v>
      </c>
      <c r="U96" s="164">
        <v>190350</v>
      </c>
      <c r="V96" s="164">
        <v>0</v>
      </c>
      <c r="W96" s="164">
        <v>0</v>
      </c>
      <c r="X96" s="164">
        <v>0</v>
      </c>
      <c r="Y96" s="164">
        <v>0</v>
      </c>
      <c r="Z96" s="164">
        <v>0</v>
      </c>
      <c r="AA96" s="164">
        <v>0</v>
      </c>
      <c r="AB96" s="164">
        <v>0</v>
      </c>
      <c r="AC96" s="164">
        <v>0</v>
      </c>
      <c r="AD96" s="879">
        <v>565004.21</v>
      </c>
      <c r="AE96" s="862"/>
      <c r="AF96" s="862"/>
      <c r="AG96" s="862"/>
      <c r="AH96" s="862"/>
      <c r="AI96" s="862"/>
      <c r="AJ96" s="862"/>
      <c r="AK96" s="862"/>
      <c r="AL96" s="862"/>
      <c r="AM96" s="862"/>
      <c r="AN96" s="862"/>
      <c r="AO96" s="862"/>
      <c r="AP96" s="862"/>
      <c r="AQ96" s="862"/>
      <c r="AR96" s="862"/>
      <c r="AS96" s="862"/>
      <c r="AT96" s="862"/>
      <c r="AU96" s="862"/>
      <c r="AV96" s="862"/>
      <c r="AW96" s="862"/>
      <c r="AX96" s="862"/>
      <c r="AY96" s="862"/>
      <c r="AZ96" s="862"/>
      <c r="BA96" s="862"/>
      <c r="BB96" s="862"/>
      <c r="BC96" s="862"/>
    </row>
    <row r="97" spans="1:55" ht="22.5" customHeight="1" x14ac:dyDescent="0.3">
      <c r="A97" s="1080" t="s">
        <v>221</v>
      </c>
      <c r="B97" s="40"/>
      <c r="C97" s="108"/>
      <c r="D97" s="70">
        <v>106000</v>
      </c>
      <c r="E97" s="70">
        <v>75000</v>
      </c>
      <c r="F97" s="70">
        <v>181000</v>
      </c>
      <c r="G97" s="70">
        <v>0</v>
      </c>
      <c r="H97" s="70">
        <v>0</v>
      </c>
      <c r="I97" s="70">
        <v>0</v>
      </c>
      <c r="J97" s="70">
        <v>0</v>
      </c>
      <c r="K97" s="70">
        <v>0</v>
      </c>
      <c r="L97" s="70">
        <v>0</v>
      </c>
      <c r="M97" s="70">
        <v>40000</v>
      </c>
      <c r="N97" s="70">
        <v>0</v>
      </c>
      <c r="O97" s="70">
        <v>66000</v>
      </c>
      <c r="P97" s="70">
        <v>0</v>
      </c>
      <c r="Q97" s="70">
        <v>0</v>
      </c>
      <c r="R97" s="70">
        <v>106000</v>
      </c>
      <c r="S97" s="70">
        <v>0</v>
      </c>
      <c r="T97" s="70">
        <v>75000</v>
      </c>
      <c r="U97" s="70">
        <v>0</v>
      </c>
      <c r="V97" s="70">
        <v>0</v>
      </c>
      <c r="W97" s="70">
        <v>0</v>
      </c>
      <c r="X97" s="70">
        <v>0</v>
      </c>
      <c r="Y97" s="70">
        <v>0</v>
      </c>
      <c r="Z97" s="70">
        <v>0</v>
      </c>
      <c r="AA97" s="70">
        <v>0</v>
      </c>
      <c r="AB97" s="70">
        <v>0</v>
      </c>
      <c r="AC97" s="70">
        <v>0</v>
      </c>
      <c r="AD97" s="70">
        <v>75000</v>
      </c>
    </row>
    <row r="98" spans="1:55" s="118" customFormat="1" ht="113.25" customHeight="1" x14ac:dyDescent="0.3">
      <c r="A98" s="1081"/>
      <c r="B98" s="763" t="s">
        <v>2</v>
      </c>
      <c r="C98" s="243" t="s">
        <v>389</v>
      </c>
      <c r="D98" s="882">
        <v>106000</v>
      </c>
      <c r="E98" s="882">
        <v>0</v>
      </c>
      <c r="F98" s="74">
        <v>106000</v>
      </c>
      <c r="G98" s="73">
        <v>0</v>
      </c>
      <c r="H98" s="73">
        <v>0</v>
      </c>
      <c r="I98" s="73">
        <v>0</v>
      </c>
      <c r="J98" s="73">
        <v>0</v>
      </c>
      <c r="K98" s="73">
        <v>0</v>
      </c>
      <c r="L98" s="73">
        <v>0</v>
      </c>
      <c r="M98" s="73">
        <v>40000</v>
      </c>
      <c r="N98" s="73">
        <v>0</v>
      </c>
      <c r="O98" s="73">
        <v>66000</v>
      </c>
      <c r="P98" s="73">
        <v>0</v>
      </c>
      <c r="Q98" s="73">
        <v>0</v>
      </c>
      <c r="R98" s="877">
        <v>106000</v>
      </c>
      <c r="S98" s="81">
        <v>0</v>
      </c>
      <c r="T98" s="81">
        <v>0</v>
      </c>
      <c r="U98" s="81">
        <v>0</v>
      </c>
      <c r="V98" s="81">
        <v>0</v>
      </c>
      <c r="W98" s="81">
        <v>0</v>
      </c>
      <c r="X98" s="81">
        <v>0</v>
      </c>
      <c r="Y98" s="81">
        <v>0</v>
      </c>
      <c r="Z98" s="81">
        <v>0</v>
      </c>
      <c r="AA98" s="81">
        <v>0</v>
      </c>
      <c r="AB98" s="81">
        <v>0</v>
      </c>
      <c r="AC98" s="81">
        <v>0</v>
      </c>
      <c r="AD98" s="164">
        <v>0</v>
      </c>
      <c r="AE98" s="864"/>
      <c r="AF98" s="864"/>
      <c r="AG98" s="864"/>
      <c r="AH98" s="864"/>
      <c r="AI98" s="864"/>
      <c r="AJ98" s="864"/>
      <c r="AK98" s="864"/>
      <c r="AL98" s="864"/>
      <c r="AM98" s="864"/>
      <c r="AN98" s="864"/>
      <c r="AO98" s="864"/>
      <c r="AP98" s="864"/>
      <c r="AQ98" s="864"/>
      <c r="AR98" s="864"/>
      <c r="AS98" s="864"/>
      <c r="AT98" s="864"/>
      <c r="AU98" s="864"/>
      <c r="AV98" s="864"/>
      <c r="AW98" s="864"/>
      <c r="AX98" s="864"/>
      <c r="AY98" s="864"/>
      <c r="AZ98" s="864"/>
      <c r="BA98" s="864"/>
      <c r="BB98" s="864"/>
      <c r="BC98" s="864"/>
    </row>
    <row r="99" spans="1:55" s="118" customFormat="1" ht="113.25" customHeight="1" x14ac:dyDescent="0.3">
      <c r="A99" s="1082"/>
      <c r="B99" s="763" t="s">
        <v>3</v>
      </c>
      <c r="C99" s="243" t="s">
        <v>390</v>
      </c>
      <c r="D99" s="882">
        <v>0</v>
      </c>
      <c r="E99" s="882">
        <v>75000</v>
      </c>
      <c r="F99" s="74">
        <v>75000</v>
      </c>
      <c r="G99" s="73">
        <v>0</v>
      </c>
      <c r="H99" s="73">
        <v>0</v>
      </c>
      <c r="I99" s="73">
        <v>0</v>
      </c>
      <c r="J99" s="73">
        <v>0</v>
      </c>
      <c r="K99" s="73">
        <v>0</v>
      </c>
      <c r="L99" s="73">
        <v>0</v>
      </c>
      <c r="M99" s="73">
        <v>0</v>
      </c>
      <c r="N99" s="73">
        <v>0</v>
      </c>
      <c r="O99" s="73">
        <v>0</v>
      </c>
      <c r="P99" s="73">
        <v>0</v>
      </c>
      <c r="Q99" s="73">
        <v>0</v>
      </c>
      <c r="R99" s="877">
        <v>0</v>
      </c>
      <c r="S99" s="61">
        <v>0</v>
      </c>
      <c r="T99" s="61">
        <v>75000</v>
      </c>
      <c r="U99" s="61">
        <v>0</v>
      </c>
      <c r="V99" s="61">
        <v>0</v>
      </c>
      <c r="W99" s="61">
        <v>0</v>
      </c>
      <c r="X99" s="61">
        <v>0</v>
      </c>
      <c r="Y99" s="61">
        <v>0</v>
      </c>
      <c r="Z99" s="61">
        <v>0</v>
      </c>
      <c r="AA99" s="61">
        <v>0</v>
      </c>
      <c r="AB99" s="61">
        <v>0</v>
      </c>
      <c r="AC99" s="61">
        <v>0</v>
      </c>
      <c r="AD99" s="164">
        <v>75000</v>
      </c>
      <c r="AE99" s="864"/>
      <c r="AF99" s="864"/>
      <c r="AG99" s="864"/>
      <c r="AH99" s="864"/>
      <c r="AI99" s="864"/>
      <c r="AJ99" s="864"/>
      <c r="AK99" s="864"/>
      <c r="AL99" s="864"/>
      <c r="AM99" s="864"/>
      <c r="AN99" s="864"/>
      <c r="AO99" s="864"/>
      <c r="AP99" s="864"/>
      <c r="AQ99" s="864"/>
      <c r="AR99" s="864"/>
      <c r="AS99" s="864"/>
      <c r="AT99" s="864"/>
      <c r="AU99" s="864"/>
      <c r="AV99" s="864"/>
      <c r="AW99" s="864"/>
      <c r="AX99" s="864"/>
      <c r="AY99" s="864"/>
      <c r="AZ99" s="864"/>
      <c r="BA99" s="864"/>
      <c r="BB99" s="864"/>
      <c r="BC99" s="864"/>
    </row>
    <row r="100" spans="1:55" s="67" customFormat="1" ht="42.75" customHeight="1" x14ac:dyDescent="0.3">
      <c r="A100" s="238" t="s">
        <v>824</v>
      </c>
      <c r="B100" s="239"/>
      <c r="C100" s="777"/>
      <c r="D100" s="777"/>
      <c r="E100" s="777"/>
      <c r="F100" s="778"/>
      <c r="G100" s="222"/>
      <c r="H100" s="222"/>
      <c r="I100" s="222"/>
      <c r="J100" s="222"/>
      <c r="K100" s="222"/>
      <c r="L100" s="222"/>
      <c r="M100" s="222"/>
      <c r="N100" s="222"/>
      <c r="O100" s="222"/>
      <c r="P100" s="222"/>
      <c r="Q100" s="222"/>
      <c r="R100" s="248">
        <v>0</v>
      </c>
      <c r="S100" s="222"/>
      <c r="T100" s="222"/>
      <c r="U100" s="222"/>
      <c r="V100" s="222"/>
      <c r="W100" s="222"/>
      <c r="X100" s="222"/>
      <c r="Y100" s="222"/>
      <c r="Z100" s="222"/>
      <c r="AA100" s="222"/>
      <c r="AB100" s="222"/>
      <c r="AC100" s="222"/>
      <c r="AD100" s="248">
        <v>0</v>
      </c>
      <c r="AE100" s="663"/>
      <c r="AF100" s="663"/>
      <c r="AG100" s="663"/>
      <c r="AH100" s="663"/>
      <c r="AI100" s="663"/>
      <c r="AJ100" s="663"/>
      <c r="AK100" s="663"/>
      <c r="AL100" s="663"/>
      <c r="AM100" s="663"/>
      <c r="AN100" s="663"/>
      <c r="AO100" s="663"/>
      <c r="AP100" s="663"/>
      <c r="AQ100" s="663"/>
      <c r="AR100" s="663"/>
      <c r="AS100" s="663"/>
      <c r="AT100" s="663"/>
      <c r="AU100" s="663"/>
      <c r="AV100" s="663"/>
      <c r="AW100" s="663"/>
      <c r="AX100" s="663"/>
      <c r="AY100" s="663"/>
      <c r="AZ100" s="663"/>
      <c r="BA100" s="663"/>
      <c r="BB100" s="663"/>
      <c r="BC100" s="663"/>
    </row>
    <row r="101" spans="1:55" ht="22.5" customHeight="1" x14ac:dyDescent="0.3">
      <c r="A101" s="1080" t="s">
        <v>112</v>
      </c>
      <c r="B101" s="40"/>
      <c r="C101" s="108"/>
      <c r="D101" s="70">
        <v>363330</v>
      </c>
      <c r="E101" s="70">
        <v>342700</v>
      </c>
      <c r="F101" s="70">
        <v>706030</v>
      </c>
      <c r="G101" s="70">
        <v>0</v>
      </c>
      <c r="H101" s="70">
        <v>3330</v>
      </c>
      <c r="I101" s="70">
        <v>0</v>
      </c>
      <c r="J101" s="70">
        <v>1500</v>
      </c>
      <c r="K101" s="70">
        <v>0</v>
      </c>
      <c r="L101" s="70">
        <v>0</v>
      </c>
      <c r="M101" s="70">
        <v>9500</v>
      </c>
      <c r="N101" s="70">
        <v>5000</v>
      </c>
      <c r="O101" s="70">
        <v>2000</v>
      </c>
      <c r="P101" s="70">
        <v>11000</v>
      </c>
      <c r="Q101" s="70">
        <v>0</v>
      </c>
      <c r="R101" s="70">
        <v>32330</v>
      </c>
      <c r="S101" s="70">
        <v>28000</v>
      </c>
      <c r="T101" s="70">
        <v>28000</v>
      </c>
      <c r="U101" s="70">
        <v>39000</v>
      </c>
      <c r="V101" s="70">
        <v>370700</v>
      </c>
      <c r="W101" s="70">
        <v>34000</v>
      </c>
      <c r="X101" s="70">
        <v>28000</v>
      </c>
      <c r="Y101" s="70">
        <v>28000</v>
      </c>
      <c r="Z101" s="70">
        <v>34000</v>
      </c>
      <c r="AA101" s="70">
        <v>28000</v>
      </c>
      <c r="AB101" s="70">
        <v>28000</v>
      </c>
      <c r="AC101" s="70">
        <v>28000</v>
      </c>
      <c r="AD101" s="70">
        <v>673700</v>
      </c>
    </row>
    <row r="102" spans="1:55" s="118" customFormat="1" ht="114.75" customHeight="1" x14ac:dyDescent="0.3">
      <c r="A102" s="1081"/>
      <c r="B102" s="763" t="s">
        <v>2</v>
      </c>
      <c r="C102" s="243" t="s">
        <v>539</v>
      </c>
      <c r="D102" s="882">
        <v>363330</v>
      </c>
      <c r="E102" s="882">
        <v>0</v>
      </c>
      <c r="F102" s="74">
        <v>363330</v>
      </c>
      <c r="G102" s="73">
        <v>0</v>
      </c>
      <c r="H102" s="73">
        <v>3330</v>
      </c>
      <c r="I102" s="73">
        <v>0</v>
      </c>
      <c r="J102" s="73">
        <v>1500</v>
      </c>
      <c r="K102" s="73">
        <v>0</v>
      </c>
      <c r="L102" s="73">
        <v>0</v>
      </c>
      <c r="M102" s="73">
        <v>9500</v>
      </c>
      <c r="N102" s="73">
        <v>5000</v>
      </c>
      <c r="O102" s="73">
        <v>2000</v>
      </c>
      <c r="P102" s="73">
        <v>11000</v>
      </c>
      <c r="Q102" s="73">
        <v>0</v>
      </c>
      <c r="R102" s="877">
        <v>32330</v>
      </c>
      <c r="S102" s="81">
        <v>28000</v>
      </c>
      <c r="T102" s="81">
        <v>28000</v>
      </c>
      <c r="U102" s="81">
        <v>39000</v>
      </c>
      <c r="V102" s="81">
        <v>28000</v>
      </c>
      <c r="W102" s="81">
        <v>34000</v>
      </c>
      <c r="X102" s="81">
        <v>28000</v>
      </c>
      <c r="Y102" s="81">
        <v>28000</v>
      </c>
      <c r="Z102" s="81">
        <v>34000</v>
      </c>
      <c r="AA102" s="81">
        <v>28000</v>
      </c>
      <c r="AB102" s="81">
        <v>28000</v>
      </c>
      <c r="AC102" s="81">
        <v>28000</v>
      </c>
      <c r="AD102" s="164">
        <v>331000</v>
      </c>
      <c r="AE102" s="864"/>
      <c r="AF102" s="864"/>
      <c r="AG102" s="864"/>
      <c r="AH102" s="864"/>
      <c r="AI102" s="864"/>
      <c r="AJ102" s="864"/>
      <c r="AK102" s="864"/>
      <c r="AL102" s="864"/>
      <c r="AM102" s="864"/>
      <c r="AN102" s="864"/>
      <c r="AO102" s="864"/>
      <c r="AP102" s="864"/>
      <c r="AQ102" s="864"/>
      <c r="AR102" s="864"/>
      <c r="AS102" s="864"/>
      <c r="AT102" s="864"/>
      <c r="AU102" s="864"/>
      <c r="AV102" s="864"/>
      <c r="AW102" s="864"/>
      <c r="AX102" s="864"/>
      <c r="AY102" s="864"/>
      <c r="AZ102" s="864"/>
      <c r="BA102" s="864"/>
      <c r="BB102" s="864"/>
      <c r="BC102" s="864"/>
    </row>
    <row r="103" spans="1:55" s="118" customFormat="1" ht="114.75" customHeight="1" x14ac:dyDescent="0.3">
      <c r="A103" s="1082"/>
      <c r="B103" s="763" t="s">
        <v>3</v>
      </c>
      <c r="C103" s="243" t="s">
        <v>540</v>
      </c>
      <c r="D103" s="882">
        <v>0</v>
      </c>
      <c r="E103" s="882">
        <v>342700</v>
      </c>
      <c r="F103" s="74">
        <v>342700</v>
      </c>
      <c r="G103" s="73">
        <v>0</v>
      </c>
      <c r="H103" s="73">
        <v>0</v>
      </c>
      <c r="I103" s="73">
        <v>0</v>
      </c>
      <c r="J103" s="73">
        <v>0</v>
      </c>
      <c r="K103" s="73">
        <v>0</v>
      </c>
      <c r="L103" s="73">
        <v>0</v>
      </c>
      <c r="M103" s="73">
        <v>0</v>
      </c>
      <c r="N103" s="73">
        <v>0</v>
      </c>
      <c r="O103" s="73">
        <v>0</v>
      </c>
      <c r="P103" s="73">
        <v>0</v>
      </c>
      <c r="Q103" s="73">
        <v>0</v>
      </c>
      <c r="R103" s="877">
        <v>0</v>
      </c>
      <c r="S103" s="61">
        <v>0</v>
      </c>
      <c r="T103" s="61">
        <v>0</v>
      </c>
      <c r="U103" s="61">
        <v>0</v>
      </c>
      <c r="V103" s="61">
        <v>342700</v>
      </c>
      <c r="W103" s="61">
        <v>0</v>
      </c>
      <c r="X103" s="61">
        <v>0</v>
      </c>
      <c r="Y103" s="61">
        <v>0</v>
      </c>
      <c r="Z103" s="61">
        <v>0</v>
      </c>
      <c r="AA103" s="61">
        <v>0</v>
      </c>
      <c r="AB103" s="61">
        <v>0</v>
      </c>
      <c r="AC103" s="61">
        <v>0</v>
      </c>
      <c r="AD103" s="164">
        <v>342700</v>
      </c>
      <c r="AE103" s="864"/>
      <c r="AF103" s="864"/>
      <c r="AG103" s="864"/>
      <c r="AH103" s="864"/>
      <c r="AI103" s="864"/>
      <c r="AJ103" s="864"/>
      <c r="AK103" s="864"/>
      <c r="AL103" s="864"/>
      <c r="AM103" s="864"/>
      <c r="AN103" s="864"/>
      <c r="AO103" s="864"/>
      <c r="AP103" s="864"/>
      <c r="AQ103" s="864"/>
      <c r="AR103" s="864"/>
      <c r="AS103" s="864"/>
      <c r="AT103" s="864"/>
      <c r="AU103" s="864"/>
      <c r="AV103" s="864"/>
      <c r="AW103" s="864"/>
      <c r="AX103" s="864"/>
      <c r="AY103" s="864"/>
      <c r="AZ103" s="864"/>
      <c r="BA103" s="864"/>
      <c r="BB103" s="864"/>
      <c r="BC103" s="864"/>
    </row>
    <row r="104" spans="1:55" ht="22.5" customHeight="1" x14ac:dyDescent="0.3">
      <c r="A104" s="1088" t="s">
        <v>113</v>
      </c>
      <c r="B104" s="40"/>
      <c r="C104" s="108"/>
      <c r="D104" s="70">
        <v>109500</v>
      </c>
      <c r="E104" s="70">
        <v>134100</v>
      </c>
      <c r="F104" s="70">
        <v>243600</v>
      </c>
      <c r="G104" s="70">
        <v>0</v>
      </c>
      <c r="H104" s="70">
        <v>0</v>
      </c>
      <c r="I104" s="70">
        <v>0</v>
      </c>
      <c r="J104" s="70">
        <v>0</v>
      </c>
      <c r="K104" s="70">
        <v>0</v>
      </c>
      <c r="L104" s="70">
        <v>0</v>
      </c>
      <c r="M104" s="70">
        <v>10000</v>
      </c>
      <c r="N104" s="70">
        <v>10500</v>
      </c>
      <c r="O104" s="70">
        <v>0</v>
      </c>
      <c r="P104" s="70">
        <v>3000</v>
      </c>
      <c r="Q104" s="70">
        <v>5000</v>
      </c>
      <c r="R104" s="70">
        <v>28500</v>
      </c>
      <c r="S104" s="70">
        <v>6000</v>
      </c>
      <c r="T104" s="70">
        <v>6000</v>
      </c>
      <c r="U104" s="70">
        <v>11000</v>
      </c>
      <c r="V104" s="70">
        <v>145100</v>
      </c>
      <c r="W104" s="70">
        <v>6000</v>
      </c>
      <c r="X104" s="70">
        <v>6000</v>
      </c>
      <c r="Y104" s="70">
        <v>11000</v>
      </c>
      <c r="Z104" s="70">
        <v>6000</v>
      </c>
      <c r="AA104" s="70">
        <v>6000</v>
      </c>
      <c r="AB104" s="70">
        <v>6000</v>
      </c>
      <c r="AC104" s="70">
        <v>6000</v>
      </c>
      <c r="AD104" s="70">
        <v>215100</v>
      </c>
    </row>
    <row r="105" spans="1:55" s="118" customFormat="1" ht="118.5" customHeight="1" x14ac:dyDescent="0.3">
      <c r="A105" s="1088"/>
      <c r="B105" s="764" t="s">
        <v>2</v>
      </c>
      <c r="C105" s="64" t="s">
        <v>394</v>
      </c>
      <c r="D105" s="882">
        <v>109500</v>
      </c>
      <c r="E105" s="882">
        <v>0</v>
      </c>
      <c r="F105" s="74">
        <v>109500</v>
      </c>
      <c r="G105" s="73">
        <v>0</v>
      </c>
      <c r="H105" s="73">
        <v>0</v>
      </c>
      <c r="I105" s="73">
        <v>0</v>
      </c>
      <c r="J105" s="73">
        <v>0</v>
      </c>
      <c r="K105" s="73">
        <v>0</v>
      </c>
      <c r="L105" s="73">
        <v>0</v>
      </c>
      <c r="M105" s="73">
        <v>10000</v>
      </c>
      <c r="N105" s="73">
        <v>10500</v>
      </c>
      <c r="O105" s="73">
        <v>0</v>
      </c>
      <c r="P105" s="73">
        <v>3000</v>
      </c>
      <c r="Q105" s="73">
        <v>5000</v>
      </c>
      <c r="R105" s="877">
        <v>28500</v>
      </c>
      <c r="S105" s="81">
        <v>6000</v>
      </c>
      <c r="T105" s="81">
        <v>6000</v>
      </c>
      <c r="U105" s="81">
        <v>11000</v>
      </c>
      <c r="V105" s="81">
        <v>11000</v>
      </c>
      <c r="W105" s="81">
        <v>6000</v>
      </c>
      <c r="X105" s="81">
        <v>6000</v>
      </c>
      <c r="Y105" s="81">
        <v>11000</v>
      </c>
      <c r="Z105" s="81">
        <v>6000</v>
      </c>
      <c r="AA105" s="81">
        <v>6000</v>
      </c>
      <c r="AB105" s="81">
        <v>6000</v>
      </c>
      <c r="AC105" s="81">
        <v>6000</v>
      </c>
      <c r="AD105" s="164">
        <v>81000</v>
      </c>
      <c r="AE105" s="864"/>
      <c r="AF105" s="864"/>
      <c r="AG105" s="864"/>
      <c r="AH105" s="864"/>
      <c r="AI105" s="864"/>
      <c r="AJ105" s="864"/>
      <c r="AK105" s="864"/>
      <c r="AL105" s="864"/>
      <c r="AM105" s="864"/>
      <c r="AN105" s="864"/>
      <c r="AO105" s="864"/>
      <c r="AP105" s="864"/>
      <c r="AQ105" s="864"/>
      <c r="AR105" s="864"/>
      <c r="AS105" s="864"/>
      <c r="AT105" s="864"/>
      <c r="AU105" s="864"/>
      <c r="AV105" s="864"/>
      <c r="AW105" s="864"/>
      <c r="AX105" s="864"/>
      <c r="AY105" s="864"/>
      <c r="AZ105" s="864"/>
      <c r="BA105" s="864"/>
      <c r="BB105" s="864"/>
      <c r="BC105" s="864"/>
    </row>
    <row r="106" spans="1:55" s="118" customFormat="1" ht="118.5" customHeight="1" x14ac:dyDescent="0.3">
      <c r="A106" s="1088"/>
      <c r="B106" s="764" t="s">
        <v>3</v>
      </c>
      <c r="C106" s="64" t="s">
        <v>393</v>
      </c>
      <c r="D106" s="882">
        <v>0</v>
      </c>
      <c r="E106" s="882">
        <v>134100</v>
      </c>
      <c r="F106" s="74">
        <v>134100</v>
      </c>
      <c r="G106" s="73">
        <v>0</v>
      </c>
      <c r="H106" s="73">
        <v>0</v>
      </c>
      <c r="I106" s="73">
        <v>0</v>
      </c>
      <c r="J106" s="73">
        <v>0</v>
      </c>
      <c r="K106" s="73">
        <v>0</v>
      </c>
      <c r="L106" s="73">
        <v>0</v>
      </c>
      <c r="M106" s="73">
        <v>0</v>
      </c>
      <c r="N106" s="73">
        <v>0</v>
      </c>
      <c r="O106" s="73">
        <v>0</v>
      </c>
      <c r="P106" s="73">
        <v>0</v>
      </c>
      <c r="Q106" s="73">
        <v>0</v>
      </c>
      <c r="R106" s="877">
        <v>0</v>
      </c>
      <c r="S106" s="81">
        <v>0</v>
      </c>
      <c r="T106" s="81">
        <v>0</v>
      </c>
      <c r="U106" s="81">
        <v>0</v>
      </c>
      <c r="V106" s="81">
        <v>134100</v>
      </c>
      <c r="W106" s="81">
        <v>0</v>
      </c>
      <c r="X106" s="81">
        <v>0</v>
      </c>
      <c r="Y106" s="81">
        <v>0</v>
      </c>
      <c r="Z106" s="81">
        <v>0</v>
      </c>
      <c r="AA106" s="81">
        <v>0</v>
      </c>
      <c r="AB106" s="81">
        <v>0</v>
      </c>
      <c r="AC106" s="81">
        <v>0</v>
      </c>
      <c r="AD106" s="164">
        <v>134100</v>
      </c>
      <c r="AE106" s="864"/>
      <c r="AF106" s="864"/>
      <c r="AG106" s="864"/>
      <c r="AH106" s="864"/>
      <c r="AI106" s="864"/>
      <c r="AJ106" s="864"/>
      <c r="AK106" s="864"/>
      <c r="AL106" s="864"/>
      <c r="AM106" s="864"/>
      <c r="AN106" s="864"/>
      <c r="AO106" s="864"/>
      <c r="AP106" s="864"/>
      <c r="AQ106" s="864"/>
      <c r="AR106" s="864"/>
      <c r="AS106" s="864"/>
      <c r="AT106" s="864"/>
      <c r="AU106" s="864"/>
      <c r="AV106" s="864"/>
      <c r="AW106" s="864"/>
      <c r="AX106" s="864"/>
      <c r="AY106" s="864"/>
      <c r="AZ106" s="864"/>
      <c r="BA106" s="864"/>
      <c r="BB106" s="864"/>
      <c r="BC106" s="864"/>
    </row>
    <row r="107" spans="1:55" s="89" customFormat="1" ht="92.4" customHeight="1" x14ac:dyDescent="0.3">
      <c r="A107" s="1078" t="s">
        <v>825</v>
      </c>
      <c r="B107" s="1079"/>
      <c r="C107" s="1079"/>
      <c r="D107" s="208">
        <v>7649284.0800000001</v>
      </c>
      <c r="E107" s="208">
        <v>15453974.449999999</v>
      </c>
      <c r="F107" s="208">
        <v>23103258.530000001</v>
      </c>
      <c r="G107" s="208">
        <v>323585</v>
      </c>
      <c r="H107" s="208">
        <v>913336</v>
      </c>
      <c r="I107" s="208">
        <v>219146.65</v>
      </c>
      <c r="J107" s="208">
        <v>410330.92</v>
      </c>
      <c r="K107" s="208">
        <v>394600</v>
      </c>
      <c r="L107" s="208">
        <v>260500</v>
      </c>
      <c r="M107" s="208">
        <v>1090283.75</v>
      </c>
      <c r="N107" s="208">
        <v>1998960.92</v>
      </c>
      <c r="O107" s="208">
        <v>1246000</v>
      </c>
      <c r="P107" s="208">
        <v>3554213.9</v>
      </c>
      <c r="Q107" s="208">
        <v>2004299.99</v>
      </c>
      <c r="R107" s="208">
        <v>12415257.130000001</v>
      </c>
      <c r="S107" s="208">
        <v>236000</v>
      </c>
      <c r="T107" s="208">
        <v>1925225.62</v>
      </c>
      <c r="U107" s="208">
        <v>1962600</v>
      </c>
      <c r="V107" s="208">
        <v>2034458</v>
      </c>
      <c r="W107" s="208">
        <v>879150</v>
      </c>
      <c r="X107" s="208">
        <v>1742662.5</v>
      </c>
      <c r="Y107" s="208">
        <v>501786.1</v>
      </c>
      <c r="Z107" s="208">
        <v>508000</v>
      </c>
      <c r="AA107" s="208">
        <v>384119.18</v>
      </c>
      <c r="AB107" s="208">
        <v>332000</v>
      </c>
      <c r="AC107" s="208">
        <v>182000</v>
      </c>
      <c r="AD107" s="208">
        <v>10688001.4</v>
      </c>
      <c r="AE107" s="860"/>
      <c r="AF107" s="860"/>
      <c r="AG107" s="860"/>
      <c r="AH107" s="860"/>
      <c r="AI107" s="860"/>
      <c r="AJ107" s="860"/>
      <c r="AK107" s="860"/>
      <c r="AL107" s="860"/>
      <c r="AM107" s="860"/>
      <c r="AN107" s="860"/>
      <c r="AO107" s="860"/>
      <c r="AP107" s="860"/>
      <c r="AQ107" s="860"/>
      <c r="AR107" s="860"/>
      <c r="AS107" s="860"/>
      <c r="AT107" s="860"/>
      <c r="AU107" s="860"/>
      <c r="AV107" s="860"/>
      <c r="AW107" s="860"/>
      <c r="AX107" s="860"/>
      <c r="AY107" s="860"/>
      <c r="AZ107" s="860"/>
      <c r="BA107" s="860"/>
      <c r="BB107" s="860"/>
      <c r="BC107" s="860"/>
    </row>
    <row r="108" spans="1:55" s="67" customFormat="1" ht="34.5" customHeight="1" x14ac:dyDescent="0.3">
      <c r="A108" s="1066" t="s">
        <v>826</v>
      </c>
      <c r="B108" s="1067"/>
      <c r="C108" s="1067"/>
      <c r="D108" s="1067"/>
      <c r="E108" s="1067"/>
      <c r="F108" s="1067"/>
      <c r="G108" s="1067"/>
      <c r="H108" s="1067"/>
      <c r="I108" s="1067"/>
      <c r="J108" s="1067"/>
      <c r="K108" s="1067"/>
      <c r="L108" s="1067"/>
      <c r="M108" s="1067"/>
      <c r="N108" s="1067"/>
      <c r="O108" s="1067"/>
      <c r="P108" s="1067"/>
      <c r="Q108" s="1067"/>
      <c r="R108" s="1067"/>
      <c r="S108" s="1067"/>
      <c r="T108" s="1067"/>
      <c r="U108" s="1067"/>
      <c r="V108" s="1067"/>
      <c r="W108" s="1067"/>
      <c r="X108" s="1067"/>
      <c r="Y108" s="1067"/>
      <c r="Z108" s="1067"/>
      <c r="AA108" s="1067"/>
      <c r="AB108" s="1067"/>
      <c r="AC108" s="1067"/>
      <c r="AD108" s="1068"/>
      <c r="AE108" s="663"/>
      <c r="AF108" s="663"/>
      <c r="AG108" s="663"/>
      <c r="AH108" s="663"/>
      <c r="AI108" s="663"/>
      <c r="AJ108" s="663"/>
      <c r="AK108" s="663"/>
      <c r="AL108" s="663"/>
      <c r="AM108" s="663"/>
      <c r="AN108" s="663"/>
      <c r="AO108" s="663"/>
      <c r="AP108" s="663"/>
      <c r="AQ108" s="663"/>
      <c r="AR108" s="663"/>
      <c r="AS108" s="663"/>
      <c r="AT108" s="663"/>
      <c r="AU108" s="663"/>
      <c r="AV108" s="663"/>
      <c r="AW108" s="663"/>
      <c r="AX108" s="663"/>
      <c r="AY108" s="663"/>
      <c r="AZ108" s="663"/>
      <c r="BA108" s="663"/>
      <c r="BB108" s="663"/>
      <c r="BC108" s="663"/>
    </row>
    <row r="109" spans="1:55" s="67" customFormat="1" ht="37.5" customHeight="1" x14ac:dyDescent="0.3">
      <c r="A109" s="282" t="s">
        <v>827</v>
      </c>
      <c r="B109" s="361"/>
      <c r="C109" s="284"/>
      <c r="D109" s="283"/>
      <c r="E109" s="283"/>
      <c r="F109" s="285"/>
      <c r="G109" s="222"/>
      <c r="H109" s="222"/>
      <c r="I109" s="222"/>
      <c r="J109" s="222"/>
      <c r="K109" s="222"/>
      <c r="L109" s="222"/>
      <c r="M109" s="222"/>
      <c r="N109" s="222"/>
      <c r="O109" s="222"/>
      <c r="P109" s="222"/>
      <c r="Q109" s="222"/>
      <c r="R109" s="222"/>
      <c r="S109" s="222"/>
      <c r="T109" s="222"/>
      <c r="U109" s="222"/>
      <c r="V109" s="222"/>
      <c r="W109" s="222"/>
      <c r="X109" s="222"/>
      <c r="Y109" s="222"/>
      <c r="Z109" s="222"/>
      <c r="AA109" s="222"/>
      <c r="AB109" s="222"/>
      <c r="AC109" s="222"/>
      <c r="AD109" s="222"/>
      <c r="AE109" s="663"/>
      <c r="AF109" s="663"/>
      <c r="AG109" s="663"/>
      <c r="AH109" s="663"/>
      <c r="AI109" s="663"/>
      <c r="AJ109" s="663"/>
      <c r="AK109" s="663"/>
      <c r="AL109" s="663"/>
      <c r="AM109" s="663"/>
      <c r="AN109" s="663"/>
      <c r="AO109" s="663"/>
      <c r="AP109" s="663"/>
      <c r="AQ109" s="663"/>
      <c r="AR109" s="663"/>
      <c r="AS109" s="663"/>
      <c r="AT109" s="663"/>
      <c r="AU109" s="663"/>
      <c r="AV109" s="663"/>
      <c r="AW109" s="663"/>
      <c r="AX109" s="663"/>
      <c r="AY109" s="663"/>
      <c r="AZ109" s="663"/>
      <c r="BA109" s="663"/>
      <c r="BB109" s="663"/>
      <c r="BC109" s="663"/>
    </row>
    <row r="110" spans="1:55" ht="32.25" customHeight="1" x14ac:dyDescent="0.3">
      <c r="A110" s="1075" t="s">
        <v>785</v>
      </c>
      <c r="B110" s="266"/>
      <c r="C110" s="272"/>
      <c r="D110" s="267">
        <v>2928780</v>
      </c>
      <c r="E110" s="267">
        <v>5132813.53</v>
      </c>
      <c r="F110" s="267">
        <v>8061593.5300000003</v>
      </c>
      <c r="G110" s="267">
        <v>22000</v>
      </c>
      <c r="H110" s="267">
        <v>22000</v>
      </c>
      <c r="I110" s="267">
        <v>22000</v>
      </c>
      <c r="J110" s="267">
        <v>137000</v>
      </c>
      <c r="K110" s="267">
        <v>163000</v>
      </c>
      <c r="L110" s="267">
        <v>64000</v>
      </c>
      <c r="M110" s="267">
        <v>219330</v>
      </c>
      <c r="N110" s="267">
        <v>351000</v>
      </c>
      <c r="O110" s="267">
        <v>731000</v>
      </c>
      <c r="P110" s="267">
        <v>1401363.9</v>
      </c>
      <c r="Q110" s="267">
        <v>1277000</v>
      </c>
      <c r="R110" s="267">
        <v>4409693.9000000004</v>
      </c>
      <c r="S110" s="267">
        <v>90000</v>
      </c>
      <c r="T110" s="267">
        <v>760813.53</v>
      </c>
      <c r="U110" s="267">
        <v>1146150</v>
      </c>
      <c r="V110" s="267">
        <v>480000</v>
      </c>
      <c r="W110" s="267">
        <v>319150</v>
      </c>
      <c r="X110" s="267">
        <v>205000</v>
      </c>
      <c r="Y110" s="267">
        <v>202786.1</v>
      </c>
      <c r="Z110" s="267">
        <v>127000</v>
      </c>
      <c r="AA110" s="267">
        <v>115000</v>
      </c>
      <c r="AB110" s="267">
        <v>115000</v>
      </c>
      <c r="AC110" s="267">
        <v>91000</v>
      </c>
      <c r="AD110" s="267">
        <v>3651899.63</v>
      </c>
    </row>
    <row r="111" spans="1:55" s="315" customFormat="1" ht="37.5" customHeight="1" x14ac:dyDescent="0.3">
      <c r="A111" s="1076"/>
      <c r="B111" s="766" t="s">
        <v>2</v>
      </c>
      <c r="C111" s="232" t="s">
        <v>223</v>
      </c>
      <c r="D111" s="883">
        <v>887000</v>
      </c>
      <c r="E111" s="883"/>
      <c r="F111" s="236">
        <v>887000</v>
      </c>
      <c r="G111" s="66">
        <v>22000</v>
      </c>
      <c r="H111" s="66">
        <v>22000</v>
      </c>
      <c r="I111" s="66">
        <v>22000</v>
      </c>
      <c r="J111" s="66">
        <v>37000</v>
      </c>
      <c r="K111" s="66">
        <v>48000</v>
      </c>
      <c r="L111" s="66">
        <v>49000</v>
      </c>
      <c r="M111" s="66">
        <v>48000</v>
      </c>
      <c r="N111" s="66">
        <v>119000</v>
      </c>
      <c r="O111" s="66">
        <v>119000</v>
      </c>
      <c r="P111" s="66">
        <v>119000</v>
      </c>
      <c r="Q111" s="66">
        <v>115000</v>
      </c>
      <c r="R111" s="61">
        <v>720000</v>
      </c>
      <c r="S111" s="61">
        <v>0</v>
      </c>
      <c r="T111" s="61">
        <v>3000</v>
      </c>
      <c r="U111" s="61">
        <v>3000</v>
      </c>
      <c r="V111" s="61">
        <v>3000</v>
      </c>
      <c r="W111" s="61">
        <v>3000</v>
      </c>
      <c r="X111" s="61">
        <v>28000</v>
      </c>
      <c r="Y111" s="61">
        <v>27000</v>
      </c>
      <c r="Z111" s="61">
        <v>25000</v>
      </c>
      <c r="AA111" s="61">
        <v>25000</v>
      </c>
      <c r="AB111" s="61">
        <v>25000</v>
      </c>
      <c r="AC111" s="61">
        <v>25000</v>
      </c>
      <c r="AD111" s="61">
        <v>167000</v>
      </c>
      <c r="AE111" s="370"/>
      <c r="AF111" s="370"/>
      <c r="AG111" s="370"/>
      <c r="AH111" s="370"/>
      <c r="AI111" s="370"/>
      <c r="AJ111" s="370"/>
      <c r="AK111" s="370"/>
      <c r="AL111" s="370"/>
      <c r="AM111" s="370"/>
      <c r="AN111" s="370"/>
      <c r="AO111" s="370"/>
      <c r="AP111" s="370"/>
      <c r="AQ111" s="370"/>
      <c r="AR111" s="370"/>
      <c r="AS111" s="370"/>
      <c r="AT111" s="370"/>
      <c r="AU111" s="370"/>
      <c r="AV111" s="370"/>
      <c r="AW111" s="370"/>
      <c r="AX111" s="370"/>
      <c r="AY111" s="370"/>
      <c r="AZ111" s="370"/>
      <c r="BA111" s="370"/>
      <c r="BB111" s="370"/>
      <c r="BC111" s="370"/>
    </row>
    <row r="112" spans="1:55" s="315" customFormat="1" ht="105.75" customHeight="1" x14ac:dyDescent="0.3">
      <c r="A112" s="1076"/>
      <c r="B112" s="766" t="s">
        <v>3</v>
      </c>
      <c r="C112" s="359" t="s">
        <v>496</v>
      </c>
      <c r="D112" s="883">
        <v>865000</v>
      </c>
      <c r="E112" s="883"/>
      <c r="F112" s="236">
        <v>865000</v>
      </c>
      <c r="G112" s="66">
        <v>0</v>
      </c>
      <c r="H112" s="66">
        <v>0</v>
      </c>
      <c r="I112" s="66">
        <v>0</v>
      </c>
      <c r="J112" s="66">
        <v>0</v>
      </c>
      <c r="K112" s="66">
        <v>0</v>
      </c>
      <c r="L112" s="66">
        <v>0</v>
      </c>
      <c r="M112" s="66">
        <v>97000</v>
      </c>
      <c r="N112" s="66">
        <v>12000</v>
      </c>
      <c r="O112" s="66">
        <v>12000</v>
      </c>
      <c r="P112" s="66">
        <v>72000</v>
      </c>
      <c r="Q112" s="66">
        <v>12000</v>
      </c>
      <c r="R112" s="61">
        <v>205000</v>
      </c>
      <c r="S112" s="61">
        <v>90000</v>
      </c>
      <c r="T112" s="61">
        <v>150000</v>
      </c>
      <c r="U112" s="61">
        <v>90000</v>
      </c>
      <c r="V112" s="61">
        <v>102000</v>
      </c>
      <c r="W112" s="61">
        <v>102000</v>
      </c>
      <c r="X112" s="61">
        <v>102000</v>
      </c>
      <c r="Y112" s="61">
        <v>12000</v>
      </c>
      <c r="Z112" s="61">
        <v>12000</v>
      </c>
      <c r="AA112" s="61">
        <v>0</v>
      </c>
      <c r="AB112" s="61">
        <v>0</v>
      </c>
      <c r="AC112" s="61">
        <v>0</v>
      </c>
      <c r="AD112" s="61">
        <v>660000</v>
      </c>
      <c r="AE112" s="370"/>
      <c r="AF112" s="370"/>
      <c r="AG112" s="370"/>
      <c r="AH112" s="370"/>
      <c r="AI112" s="370"/>
      <c r="AJ112" s="370"/>
      <c r="AK112" s="370"/>
      <c r="AL112" s="370"/>
      <c r="AM112" s="370"/>
      <c r="AN112" s="370"/>
      <c r="AO112" s="370"/>
      <c r="AP112" s="370"/>
      <c r="AQ112" s="370"/>
      <c r="AR112" s="370"/>
      <c r="AS112" s="370"/>
      <c r="AT112" s="370"/>
      <c r="AU112" s="370"/>
      <c r="AV112" s="370"/>
      <c r="AW112" s="370"/>
      <c r="AX112" s="370"/>
      <c r="AY112" s="370"/>
      <c r="AZ112" s="370"/>
      <c r="BA112" s="370"/>
      <c r="BB112" s="370"/>
      <c r="BC112" s="370"/>
    </row>
    <row r="113" spans="1:55" s="315" customFormat="1" ht="114" customHeight="1" x14ac:dyDescent="0.3">
      <c r="A113" s="1076"/>
      <c r="B113" s="765" t="s">
        <v>4</v>
      </c>
      <c r="C113" s="319" t="s">
        <v>495</v>
      </c>
      <c r="D113" s="883"/>
      <c r="E113" s="883">
        <v>3051000</v>
      </c>
      <c r="F113" s="236">
        <v>3051000</v>
      </c>
      <c r="G113" s="66">
        <v>0</v>
      </c>
      <c r="H113" s="66">
        <v>0</v>
      </c>
      <c r="I113" s="66">
        <v>0</v>
      </c>
      <c r="J113" s="66">
        <v>0</v>
      </c>
      <c r="K113" s="66">
        <v>0</v>
      </c>
      <c r="L113" s="66">
        <v>0</v>
      </c>
      <c r="M113" s="66">
        <v>0</v>
      </c>
      <c r="N113" s="66">
        <v>0</v>
      </c>
      <c r="O113" s="66">
        <v>500000</v>
      </c>
      <c r="P113" s="66">
        <v>900000</v>
      </c>
      <c r="Q113" s="66">
        <v>900000</v>
      </c>
      <c r="R113" s="61">
        <v>2300000</v>
      </c>
      <c r="S113" s="61">
        <v>0</v>
      </c>
      <c r="T113" s="61">
        <v>351000</v>
      </c>
      <c r="U113" s="61">
        <v>400000</v>
      </c>
      <c r="V113" s="61">
        <v>0</v>
      </c>
      <c r="W113" s="61">
        <v>0</v>
      </c>
      <c r="X113" s="61">
        <v>0</v>
      </c>
      <c r="Y113" s="61">
        <v>0</v>
      </c>
      <c r="Z113" s="61">
        <v>0</v>
      </c>
      <c r="AA113" s="61">
        <v>0</v>
      </c>
      <c r="AB113" s="61">
        <v>0</v>
      </c>
      <c r="AC113" s="61">
        <v>0</v>
      </c>
      <c r="AD113" s="61">
        <v>751000</v>
      </c>
      <c r="AE113" s="370"/>
      <c r="AF113" s="370"/>
      <c r="AG113" s="370"/>
      <c r="AH113" s="370"/>
      <c r="AI113" s="370"/>
      <c r="AJ113" s="370"/>
      <c r="AK113" s="370"/>
      <c r="AL113" s="370"/>
      <c r="AM113" s="370"/>
      <c r="AN113" s="370"/>
      <c r="AO113" s="370"/>
      <c r="AP113" s="370"/>
      <c r="AQ113" s="370"/>
      <c r="AR113" s="370"/>
      <c r="AS113" s="370"/>
      <c r="AT113" s="370"/>
      <c r="AU113" s="370"/>
      <c r="AV113" s="370"/>
      <c r="AW113" s="370"/>
      <c r="AX113" s="370"/>
      <c r="AY113" s="370"/>
      <c r="AZ113" s="370"/>
      <c r="BA113" s="370"/>
      <c r="BB113" s="370"/>
      <c r="BC113" s="370"/>
    </row>
    <row r="114" spans="1:55" s="315" customFormat="1" ht="123" customHeight="1" x14ac:dyDescent="0.3">
      <c r="A114" s="1076"/>
      <c r="B114" s="765" t="s">
        <v>8</v>
      </c>
      <c r="C114" s="428" t="s">
        <v>395</v>
      </c>
      <c r="D114" s="883">
        <v>280000</v>
      </c>
      <c r="E114" s="883"/>
      <c r="F114" s="236">
        <v>280000</v>
      </c>
      <c r="G114" s="66">
        <v>0</v>
      </c>
      <c r="H114" s="66">
        <v>0</v>
      </c>
      <c r="I114" s="66">
        <v>0</v>
      </c>
      <c r="J114" s="66">
        <v>0</v>
      </c>
      <c r="K114" s="66">
        <v>0</v>
      </c>
      <c r="L114" s="66">
        <v>0</v>
      </c>
      <c r="M114" s="66">
        <v>0</v>
      </c>
      <c r="N114" s="66">
        <v>30000</v>
      </c>
      <c r="O114" s="66">
        <v>0</v>
      </c>
      <c r="P114" s="66">
        <v>140363.9</v>
      </c>
      <c r="Q114" s="66">
        <v>0</v>
      </c>
      <c r="R114" s="61">
        <v>170363.9</v>
      </c>
      <c r="S114" s="61">
        <v>0</v>
      </c>
      <c r="T114" s="61">
        <v>0</v>
      </c>
      <c r="U114" s="61">
        <v>25000</v>
      </c>
      <c r="V114" s="61">
        <v>25000</v>
      </c>
      <c r="W114" s="61">
        <v>25000</v>
      </c>
      <c r="X114" s="61">
        <v>25000</v>
      </c>
      <c r="Y114" s="61">
        <v>9636.1</v>
      </c>
      <c r="Z114" s="61">
        <v>0</v>
      </c>
      <c r="AA114" s="61">
        <v>0</v>
      </c>
      <c r="AB114" s="61">
        <v>0</v>
      </c>
      <c r="AC114" s="61">
        <v>0</v>
      </c>
      <c r="AD114" s="61">
        <v>109636.1</v>
      </c>
      <c r="AE114" s="370"/>
      <c r="AF114" s="370"/>
      <c r="AG114" s="370"/>
      <c r="AH114" s="370"/>
      <c r="AI114" s="370"/>
      <c r="AJ114" s="370"/>
      <c r="AK114" s="370"/>
      <c r="AL114" s="370"/>
      <c r="AM114" s="370"/>
      <c r="AN114" s="370"/>
      <c r="AO114" s="370"/>
      <c r="AP114" s="370"/>
      <c r="AQ114" s="370"/>
      <c r="AR114" s="370"/>
      <c r="AS114" s="370"/>
      <c r="AT114" s="370"/>
      <c r="AU114" s="370"/>
      <c r="AV114" s="370"/>
      <c r="AW114" s="370"/>
      <c r="AX114" s="370"/>
      <c r="AY114" s="370"/>
      <c r="AZ114" s="370"/>
      <c r="BA114" s="370"/>
      <c r="BB114" s="370"/>
      <c r="BC114" s="370"/>
    </row>
    <row r="115" spans="1:55" s="315" customFormat="1" ht="82.95" customHeight="1" x14ac:dyDescent="0.3">
      <c r="A115" s="1076"/>
      <c r="B115" s="765" t="s">
        <v>9</v>
      </c>
      <c r="C115" s="428" t="s">
        <v>230</v>
      </c>
      <c r="D115" s="883"/>
      <c r="E115" s="883">
        <v>170000</v>
      </c>
      <c r="F115" s="236">
        <v>170000</v>
      </c>
      <c r="G115" s="66">
        <v>0</v>
      </c>
      <c r="H115" s="66">
        <v>0</v>
      </c>
      <c r="I115" s="66">
        <v>0</v>
      </c>
      <c r="J115" s="66">
        <v>0</v>
      </c>
      <c r="K115" s="66">
        <v>0</v>
      </c>
      <c r="L115" s="66">
        <v>0</v>
      </c>
      <c r="M115" s="66">
        <v>0</v>
      </c>
      <c r="N115" s="66">
        <v>0</v>
      </c>
      <c r="O115" s="66">
        <v>0</v>
      </c>
      <c r="P115" s="66">
        <v>170000</v>
      </c>
      <c r="Q115" s="66">
        <v>0</v>
      </c>
      <c r="R115" s="61">
        <v>170000</v>
      </c>
      <c r="S115" s="61">
        <v>0</v>
      </c>
      <c r="T115" s="61">
        <v>0</v>
      </c>
      <c r="U115" s="61">
        <v>0</v>
      </c>
      <c r="V115" s="61">
        <v>0</v>
      </c>
      <c r="W115" s="61">
        <v>0</v>
      </c>
      <c r="X115" s="61">
        <v>0</v>
      </c>
      <c r="Y115" s="61">
        <v>0</v>
      </c>
      <c r="Z115" s="61">
        <v>0</v>
      </c>
      <c r="AA115" s="61">
        <v>0</v>
      </c>
      <c r="AB115" s="61">
        <v>0</v>
      </c>
      <c r="AC115" s="61">
        <v>0</v>
      </c>
      <c r="AD115" s="61">
        <v>0</v>
      </c>
      <c r="AE115" s="370"/>
      <c r="AF115" s="370"/>
      <c r="AG115" s="370"/>
      <c r="AH115" s="370"/>
      <c r="AI115" s="370"/>
      <c r="AJ115" s="370"/>
      <c r="AK115" s="370"/>
      <c r="AL115" s="370"/>
      <c r="AM115" s="370"/>
      <c r="AN115" s="370"/>
      <c r="AO115" s="370"/>
      <c r="AP115" s="370"/>
      <c r="AQ115" s="370"/>
      <c r="AR115" s="370"/>
      <c r="AS115" s="370"/>
      <c r="AT115" s="370"/>
      <c r="AU115" s="370"/>
      <c r="AV115" s="370"/>
      <c r="AW115" s="370"/>
      <c r="AX115" s="370"/>
      <c r="AY115" s="370"/>
      <c r="AZ115" s="370"/>
      <c r="BA115" s="370"/>
      <c r="BB115" s="370"/>
      <c r="BC115" s="370"/>
    </row>
    <row r="116" spans="1:55" s="315" customFormat="1" ht="109.5" customHeight="1" x14ac:dyDescent="0.3">
      <c r="A116" s="1076"/>
      <c r="B116" s="765" t="s">
        <v>10</v>
      </c>
      <c r="C116" s="319" t="s">
        <v>396</v>
      </c>
      <c r="D116" s="883">
        <v>100000</v>
      </c>
      <c r="E116" s="883"/>
      <c r="F116" s="236">
        <v>100000</v>
      </c>
      <c r="G116" s="66">
        <v>0</v>
      </c>
      <c r="H116" s="66">
        <v>0</v>
      </c>
      <c r="I116" s="66">
        <v>0</v>
      </c>
      <c r="J116" s="66">
        <v>0</v>
      </c>
      <c r="K116" s="66">
        <v>100000</v>
      </c>
      <c r="L116" s="66">
        <v>0</v>
      </c>
      <c r="M116" s="66">
        <v>0</v>
      </c>
      <c r="N116" s="66">
        <v>0</v>
      </c>
      <c r="O116" s="66">
        <v>0</v>
      </c>
      <c r="P116" s="66">
        <v>0</v>
      </c>
      <c r="Q116" s="66">
        <v>0</v>
      </c>
      <c r="R116" s="61">
        <v>100000</v>
      </c>
      <c r="S116" s="61">
        <v>0</v>
      </c>
      <c r="T116" s="61">
        <v>0</v>
      </c>
      <c r="U116" s="61">
        <v>0</v>
      </c>
      <c r="V116" s="61">
        <v>0</v>
      </c>
      <c r="W116" s="61">
        <v>0</v>
      </c>
      <c r="X116" s="61">
        <v>0</v>
      </c>
      <c r="Y116" s="61">
        <v>0</v>
      </c>
      <c r="Z116" s="61">
        <v>0</v>
      </c>
      <c r="AA116" s="61">
        <v>0</v>
      </c>
      <c r="AB116" s="61">
        <v>0</v>
      </c>
      <c r="AC116" s="61">
        <v>0</v>
      </c>
      <c r="AD116" s="61">
        <v>0</v>
      </c>
      <c r="AE116" s="370"/>
      <c r="AF116" s="370"/>
      <c r="AG116" s="370"/>
      <c r="AH116" s="370"/>
      <c r="AI116" s="370"/>
      <c r="AJ116" s="370"/>
      <c r="AK116" s="370"/>
      <c r="AL116" s="370"/>
      <c r="AM116" s="370"/>
      <c r="AN116" s="370"/>
      <c r="AO116" s="370"/>
      <c r="AP116" s="370"/>
      <c r="AQ116" s="370"/>
      <c r="AR116" s="370"/>
      <c r="AS116" s="370"/>
      <c r="AT116" s="370"/>
      <c r="AU116" s="370"/>
      <c r="AV116" s="370"/>
      <c r="AW116" s="370"/>
      <c r="AX116" s="370"/>
      <c r="AY116" s="370"/>
      <c r="AZ116" s="370"/>
      <c r="BA116" s="370"/>
      <c r="BB116" s="370"/>
      <c r="BC116" s="370"/>
    </row>
    <row r="117" spans="1:55" s="315" customFormat="1" ht="114" customHeight="1" x14ac:dyDescent="0.3">
      <c r="A117" s="1076"/>
      <c r="B117" s="765" t="s">
        <v>67</v>
      </c>
      <c r="C117" s="245" t="s">
        <v>397</v>
      </c>
      <c r="D117" s="883"/>
      <c r="E117" s="883">
        <v>1255000</v>
      </c>
      <c r="F117" s="236">
        <v>1255000</v>
      </c>
      <c r="G117" s="66">
        <v>0</v>
      </c>
      <c r="H117" s="66">
        <v>0</v>
      </c>
      <c r="I117" s="66">
        <v>0</v>
      </c>
      <c r="J117" s="66">
        <v>0</v>
      </c>
      <c r="K117" s="66">
        <v>0</v>
      </c>
      <c r="L117" s="66">
        <v>0</v>
      </c>
      <c r="M117" s="66">
        <v>0</v>
      </c>
      <c r="N117" s="66">
        <v>0</v>
      </c>
      <c r="O117" s="66">
        <v>100000</v>
      </c>
      <c r="P117" s="66">
        <v>0</v>
      </c>
      <c r="Q117" s="66">
        <v>250000</v>
      </c>
      <c r="R117" s="61">
        <v>350000</v>
      </c>
      <c r="S117" s="61">
        <v>0</v>
      </c>
      <c r="T117" s="61">
        <v>0</v>
      </c>
      <c r="U117" s="61">
        <v>555000</v>
      </c>
      <c r="V117" s="61">
        <v>350000</v>
      </c>
      <c r="W117" s="61">
        <v>0</v>
      </c>
      <c r="X117" s="61">
        <v>0</v>
      </c>
      <c r="Y117" s="61">
        <v>0</v>
      </c>
      <c r="Z117" s="61">
        <v>0</v>
      </c>
      <c r="AA117" s="61">
        <v>0</v>
      </c>
      <c r="AB117" s="61">
        <v>0</v>
      </c>
      <c r="AC117" s="61">
        <v>0</v>
      </c>
      <c r="AD117" s="61">
        <v>905000</v>
      </c>
      <c r="AE117" s="370"/>
      <c r="AF117" s="370"/>
      <c r="AG117" s="370"/>
      <c r="AH117" s="370"/>
      <c r="AI117" s="370"/>
      <c r="AJ117" s="370"/>
      <c r="AK117" s="370"/>
      <c r="AL117" s="370"/>
      <c r="AM117" s="370"/>
      <c r="AN117" s="370"/>
      <c r="AO117" s="370"/>
      <c r="AP117" s="370"/>
      <c r="AQ117" s="370"/>
      <c r="AR117" s="370"/>
      <c r="AS117" s="370"/>
      <c r="AT117" s="370"/>
      <c r="AU117" s="370"/>
      <c r="AV117" s="370"/>
      <c r="AW117" s="370"/>
      <c r="AX117" s="370"/>
      <c r="AY117" s="370"/>
      <c r="AZ117" s="370"/>
      <c r="BA117" s="370"/>
      <c r="BB117" s="370"/>
      <c r="BC117" s="370"/>
    </row>
    <row r="118" spans="1:55" s="315" customFormat="1" ht="74.400000000000006" customHeight="1" x14ac:dyDescent="0.3">
      <c r="A118" s="1076"/>
      <c r="B118" s="765" t="s">
        <v>68</v>
      </c>
      <c r="C118" s="245" t="s">
        <v>548</v>
      </c>
      <c r="D118" s="883">
        <v>796780</v>
      </c>
      <c r="E118" s="883"/>
      <c r="F118" s="236">
        <v>796780</v>
      </c>
      <c r="G118" s="66">
        <v>0</v>
      </c>
      <c r="H118" s="66">
        <v>0</v>
      </c>
      <c r="I118" s="66">
        <v>0</v>
      </c>
      <c r="J118" s="66">
        <v>65000</v>
      </c>
      <c r="K118" s="66">
        <v>15000</v>
      </c>
      <c r="L118" s="66">
        <v>15000</v>
      </c>
      <c r="M118" s="66">
        <v>74330</v>
      </c>
      <c r="N118" s="66">
        <v>0</v>
      </c>
      <c r="O118" s="66">
        <v>0</v>
      </c>
      <c r="P118" s="66">
        <v>0</v>
      </c>
      <c r="Q118" s="66">
        <v>0</v>
      </c>
      <c r="R118" s="61">
        <v>169330</v>
      </c>
      <c r="S118" s="61">
        <v>0</v>
      </c>
      <c r="T118" s="61">
        <v>0</v>
      </c>
      <c r="U118" s="61">
        <v>73150</v>
      </c>
      <c r="V118" s="61">
        <v>0</v>
      </c>
      <c r="W118" s="61">
        <v>64150</v>
      </c>
      <c r="X118" s="61">
        <v>0</v>
      </c>
      <c r="Y118" s="61">
        <v>154150</v>
      </c>
      <c r="Z118" s="61">
        <v>90000</v>
      </c>
      <c r="AA118" s="61">
        <v>90000</v>
      </c>
      <c r="AB118" s="61">
        <v>90000</v>
      </c>
      <c r="AC118" s="61">
        <v>66000</v>
      </c>
      <c r="AD118" s="61">
        <v>627450</v>
      </c>
      <c r="AE118" s="370"/>
      <c r="AF118" s="370"/>
      <c r="AG118" s="370"/>
      <c r="AH118" s="370"/>
      <c r="AI118" s="370"/>
      <c r="AJ118" s="370"/>
      <c r="AK118" s="370"/>
      <c r="AL118" s="370"/>
      <c r="AM118" s="370"/>
      <c r="AN118" s="370"/>
      <c r="AO118" s="370"/>
      <c r="AP118" s="370"/>
      <c r="AQ118" s="370"/>
      <c r="AR118" s="370"/>
      <c r="AS118" s="370"/>
      <c r="AT118" s="370"/>
      <c r="AU118" s="370"/>
      <c r="AV118" s="370"/>
      <c r="AW118" s="370"/>
      <c r="AX118" s="370"/>
      <c r="AY118" s="370"/>
      <c r="AZ118" s="370"/>
      <c r="BA118" s="370"/>
      <c r="BB118" s="370"/>
      <c r="BC118" s="370"/>
    </row>
    <row r="119" spans="1:55" s="315" customFormat="1" ht="118.2" customHeight="1" x14ac:dyDescent="0.3">
      <c r="A119" s="1077"/>
      <c r="B119" s="775" t="s">
        <v>69</v>
      </c>
      <c r="C119" s="274" t="s">
        <v>773</v>
      </c>
      <c r="D119" s="883"/>
      <c r="E119" s="883">
        <v>656813.53</v>
      </c>
      <c r="F119" s="236">
        <v>656813.53</v>
      </c>
      <c r="G119" s="66">
        <v>0</v>
      </c>
      <c r="H119" s="66">
        <v>0</v>
      </c>
      <c r="I119" s="66">
        <v>0</v>
      </c>
      <c r="J119" s="66">
        <v>35000</v>
      </c>
      <c r="K119" s="66">
        <v>0</v>
      </c>
      <c r="L119" s="66">
        <v>0</v>
      </c>
      <c r="M119" s="66">
        <v>0</v>
      </c>
      <c r="N119" s="66">
        <v>190000</v>
      </c>
      <c r="O119" s="66">
        <v>0</v>
      </c>
      <c r="P119" s="66">
        <v>0</v>
      </c>
      <c r="Q119" s="66">
        <v>0</v>
      </c>
      <c r="R119" s="61">
        <v>225000</v>
      </c>
      <c r="S119" s="61">
        <v>0</v>
      </c>
      <c r="T119" s="61">
        <v>256813.53</v>
      </c>
      <c r="U119" s="61">
        <v>0</v>
      </c>
      <c r="V119" s="61">
        <v>0</v>
      </c>
      <c r="W119" s="61">
        <v>125000</v>
      </c>
      <c r="X119" s="61">
        <v>50000</v>
      </c>
      <c r="Y119" s="61">
        <v>0</v>
      </c>
      <c r="Z119" s="61">
        <v>0</v>
      </c>
      <c r="AA119" s="61">
        <v>0</v>
      </c>
      <c r="AB119" s="61">
        <v>0</v>
      </c>
      <c r="AC119" s="61">
        <v>0</v>
      </c>
      <c r="AD119" s="61">
        <v>431813.53</v>
      </c>
      <c r="AE119" s="370"/>
      <c r="AF119" s="370"/>
      <c r="AG119" s="370"/>
      <c r="AH119" s="370"/>
      <c r="AI119" s="370"/>
      <c r="AJ119" s="370"/>
      <c r="AK119" s="370"/>
      <c r="AL119" s="370"/>
      <c r="AM119" s="370"/>
      <c r="AN119" s="370"/>
      <c r="AO119" s="370"/>
      <c r="AP119" s="370"/>
      <c r="AQ119" s="370"/>
      <c r="AR119" s="370"/>
      <c r="AS119" s="370"/>
      <c r="AT119" s="370"/>
      <c r="AU119" s="370"/>
      <c r="AV119" s="370"/>
      <c r="AW119" s="370"/>
      <c r="AX119" s="370"/>
      <c r="AY119" s="370"/>
      <c r="AZ119" s="370"/>
      <c r="BA119" s="370"/>
      <c r="BB119" s="370"/>
      <c r="BC119" s="370"/>
    </row>
    <row r="120" spans="1:55" s="67" customFormat="1" ht="28.5" customHeight="1" x14ac:dyDescent="0.3">
      <c r="A120" s="282" t="s">
        <v>828</v>
      </c>
      <c r="B120" s="361"/>
      <c r="C120" s="284"/>
      <c r="D120" s="283"/>
      <c r="E120" s="283"/>
      <c r="F120" s="285"/>
      <c r="G120" s="222"/>
      <c r="H120" s="222"/>
      <c r="I120" s="222"/>
      <c r="J120" s="222"/>
      <c r="K120" s="222"/>
      <c r="L120" s="222"/>
      <c r="M120" s="222"/>
      <c r="N120" s="222"/>
      <c r="O120" s="222"/>
      <c r="P120" s="222"/>
      <c r="Q120" s="222"/>
      <c r="R120" s="222"/>
      <c r="S120" s="222"/>
      <c r="T120" s="222"/>
      <c r="U120" s="222"/>
      <c r="V120" s="222"/>
      <c r="W120" s="222"/>
      <c r="X120" s="222"/>
      <c r="Y120" s="222"/>
      <c r="Z120" s="222"/>
      <c r="AA120" s="222"/>
      <c r="AB120" s="222"/>
      <c r="AC120" s="222"/>
      <c r="AD120" s="222"/>
      <c r="AE120" s="663"/>
      <c r="AF120" s="663"/>
      <c r="AG120" s="663"/>
      <c r="AH120" s="663"/>
      <c r="AI120" s="663"/>
      <c r="AJ120" s="663"/>
      <c r="AK120" s="663"/>
      <c r="AL120" s="663"/>
      <c r="AM120" s="663"/>
      <c r="AN120" s="663"/>
      <c r="AO120" s="663"/>
      <c r="AP120" s="663"/>
      <c r="AQ120" s="663"/>
      <c r="AR120" s="663"/>
      <c r="AS120" s="663"/>
      <c r="AT120" s="663"/>
      <c r="AU120" s="663"/>
      <c r="AV120" s="663"/>
      <c r="AW120" s="663"/>
      <c r="AX120" s="663"/>
      <c r="AY120" s="663"/>
      <c r="AZ120" s="663"/>
      <c r="BA120" s="663"/>
      <c r="BB120" s="663"/>
      <c r="BC120" s="663"/>
    </row>
    <row r="121" spans="1:55" ht="30" customHeight="1" x14ac:dyDescent="0.3">
      <c r="A121" s="1075" t="s">
        <v>786</v>
      </c>
      <c r="B121" s="266"/>
      <c r="C121" s="272"/>
      <c r="D121" s="267">
        <v>2470908.6</v>
      </c>
      <c r="E121" s="267">
        <v>355000</v>
      </c>
      <c r="F121" s="267">
        <v>2825908.6</v>
      </c>
      <c r="G121" s="267">
        <v>22000</v>
      </c>
      <c r="H121" s="267">
        <v>22000</v>
      </c>
      <c r="I121" s="267">
        <v>22000</v>
      </c>
      <c r="J121" s="267">
        <v>51150</v>
      </c>
      <c r="K121" s="267">
        <v>120000</v>
      </c>
      <c r="L121" s="267">
        <v>196500</v>
      </c>
      <c r="M121" s="267">
        <v>148000</v>
      </c>
      <c r="N121" s="267">
        <v>340000</v>
      </c>
      <c r="O121" s="267">
        <v>85000</v>
      </c>
      <c r="P121" s="267">
        <v>335000</v>
      </c>
      <c r="Q121" s="267">
        <v>81000</v>
      </c>
      <c r="R121" s="267">
        <v>1422650</v>
      </c>
      <c r="S121" s="267">
        <v>56000</v>
      </c>
      <c r="T121" s="267">
        <v>147500</v>
      </c>
      <c r="U121" s="267">
        <v>341450</v>
      </c>
      <c r="V121" s="267">
        <v>225458</v>
      </c>
      <c r="W121" s="267">
        <v>59000</v>
      </c>
      <c r="X121" s="267">
        <v>165850.6</v>
      </c>
      <c r="Y121" s="267">
        <v>84000</v>
      </c>
      <c r="Z121" s="267">
        <v>81000</v>
      </c>
      <c r="AA121" s="267">
        <v>81000</v>
      </c>
      <c r="AB121" s="267">
        <v>81000</v>
      </c>
      <c r="AC121" s="267">
        <v>81000</v>
      </c>
      <c r="AD121" s="267">
        <v>1403258.6</v>
      </c>
    </row>
    <row r="122" spans="1:55" s="315" customFormat="1" ht="34.950000000000003" customHeight="1" x14ac:dyDescent="0.3">
      <c r="A122" s="1076"/>
      <c r="B122" s="766" t="s">
        <v>2</v>
      </c>
      <c r="C122" s="232" t="s">
        <v>244</v>
      </c>
      <c r="D122" s="883">
        <v>751000</v>
      </c>
      <c r="E122" s="883"/>
      <c r="F122" s="236">
        <v>751000</v>
      </c>
      <c r="G122" s="66">
        <v>22000</v>
      </c>
      <c r="H122" s="66">
        <v>22000</v>
      </c>
      <c r="I122" s="66">
        <v>22000</v>
      </c>
      <c r="J122" s="66">
        <v>37000</v>
      </c>
      <c r="K122" s="66">
        <v>48000</v>
      </c>
      <c r="L122" s="66">
        <v>48000</v>
      </c>
      <c r="M122" s="66">
        <v>48000</v>
      </c>
      <c r="N122" s="66">
        <v>85000</v>
      </c>
      <c r="O122" s="66">
        <v>85000</v>
      </c>
      <c r="P122" s="66">
        <v>85000</v>
      </c>
      <c r="Q122" s="66">
        <v>81000</v>
      </c>
      <c r="R122" s="61">
        <v>583000</v>
      </c>
      <c r="S122" s="61">
        <v>0</v>
      </c>
      <c r="T122" s="61">
        <v>3000</v>
      </c>
      <c r="U122" s="61">
        <v>3000</v>
      </c>
      <c r="V122" s="61">
        <v>3000</v>
      </c>
      <c r="W122" s="61">
        <v>3000</v>
      </c>
      <c r="X122" s="61">
        <v>28000</v>
      </c>
      <c r="Y122" s="61">
        <v>28000</v>
      </c>
      <c r="Z122" s="61">
        <v>25000</v>
      </c>
      <c r="AA122" s="61">
        <v>25000</v>
      </c>
      <c r="AB122" s="61">
        <v>25000</v>
      </c>
      <c r="AC122" s="61">
        <v>25000</v>
      </c>
      <c r="AD122" s="61">
        <v>168000</v>
      </c>
      <c r="AE122" s="370"/>
      <c r="AF122" s="370"/>
      <c r="AG122" s="370"/>
      <c r="AH122" s="370"/>
      <c r="AI122" s="370"/>
      <c r="AJ122" s="370"/>
      <c r="AK122" s="370"/>
      <c r="AL122" s="370"/>
      <c r="AM122" s="370"/>
      <c r="AN122" s="370"/>
      <c r="AO122" s="370"/>
      <c r="AP122" s="370"/>
      <c r="AQ122" s="370"/>
      <c r="AR122" s="370"/>
      <c r="AS122" s="370"/>
      <c r="AT122" s="370"/>
      <c r="AU122" s="370"/>
      <c r="AV122" s="370"/>
      <c r="AW122" s="370"/>
      <c r="AX122" s="370"/>
      <c r="AY122" s="370"/>
      <c r="AZ122" s="370"/>
      <c r="BA122" s="370"/>
      <c r="BB122" s="370"/>
      <c r="BC122" s="370"/>
    </row>
    <row r="123" spans="1:55" s="315" customFormat="1" ht="132.75" customHeight="1" x14ac:dyDescent="0.3">
      <c r="A123" s="1076"/>
      <c r="B123" s="767" t="s">
        <v>3</v>
      </c>
      <c r="C123" s="232" t="s">
        <v>399</v>
      </c>
      <c r="D123" s="883"/>
      <c r="E123" s="883">
        <v>155000</v>
      </c>
      <c r="F123" s="236">
        <v>155000</v>
      </c>
      <c r="G123" s="66">
        <v>0</v>
      </c>
      <c r="H123" s="66">
        <v>0</v>
      </c>
      <c r="I123" s="66">
        <v>0</v>
      </c>
      <c r="J123" s="66">
        <v>0</v>
      </c>
      <c r="K123" s="66">
        <v>0</v>
      </c>
      <c r="L123" s="66">
        <v>0</v>
      </c>
      <c r="M123" s="66">
        <v>0</v>
      </c>
      <c r="N123" s="66">
        <v>155000</v>
      </c>
      <c r="O123" s="66">
        <v>0</v>
      </c>
      <c r="P123" s="66">
        <v>0</v>
      </c>
      <c r="Q123" s="66">
        <v>0</v>
      </c>
      <c r="R123" s="61">
        <v>155000</v>
      </c>
      <c r="S123" s="61">
        <v>0</v>
      </c>
      <c r="T123" s="61">
        <v>0</v>
      </c>
      <c r="U123" s="61">
        <v>0</v>
      </c>
      <c r="V123" s="61">
        <v>0</v>
      </c>
      <c r="W123" s="61">
        <v>0</v>
      </c>
      <c r="X123" s="61">
        <v>0</v>
      </c>
      <c r="Y123" s="61">
        <v>0</v>
      </c>
      <c r="Z123" s="61">
        <v>0</v>
      </c>
      <c r="AA123" s="61">
        <v>0</v>
      </c>
      <c r="AB123" s="61">
        <v>0</v>
      </c>
      <c r="AC123" s="61">
        <v>0</v>
      </c>
      <c r="AD123" s="61">
        <v>0</v>
      </c>
      <c r="AE123" s="370"/>
      <c r="AF123" s="370"/>
      <c r="AG123" s="370"/>
      <c r="AH123" s="370"/>
      <c r="AI123" s="370"/>
      <c r="AJ123" s="370"/>
      <c r="AK123" s="370"/>
      <c r="AL123" s="370"/>
      <c r="AM123" s="370"/>
      <c r="AN123" s="370"/>
      <c r="AO123" s="370"/>
      <c r="AP123" s="370"/>
      <c r="AQ123" s="370"/>
      <c r="AR123" s="370"/>
      <c r="AS123" s="370"/>
      <c r="AT123" s="370"/>
      <c r="AU123" s="370"/>
      <c r="AV123" s="370"/>
      <c r="AW123" s="370"/>
      <c r="AX123" s="370"/>
      <c r="AY123" s="370"/>
      <c r="AZ123" s="370"/>
      <c r="BA123" s="370"/>
      <c r="BB123" s="370"/>
      <c r="BC123" s="370"/>
    </row>
    <row r="124" spans="1:55" s="315" customFormat="1" ht="127.5" customHeight="1" x14ac:dyDescent="0.3">
      <c r="A124" s="1076"/>
      <c r="B124" s="767" t="s">
        <v>4</v>
      </c>
      <c r="C124" s="232" t="s">
        <v>552</v>
      </c>
      <c r="D124" s="883">
        <v>645000</v>
      </c>
      <c r="E124" s="883"/>
      <c r="F124" s="236">
        <v>645000</v>
      </c>
      <c r="G124" s="66">
        <v>0</v>
      </c>
      <c r="H124" s="66">
        <v>0</v>
      </c>
      <c r="I124" s="66">
        <v>0</v>
      </c>
      <c r="J124" s="66">
        <v>0</v>
      </c>
      <c r="K124" s="66">
        <v>72000</v>
      </c>
      <c r="L124" s="66">
        <v>148500</v>
      </c>
      <c r="M124" s="66">
        <v>0</v>
      </c>
      <c r="N124" s="66">
        <v>0</v>
      </c>
      <c r="O124" s="66">
        <v>0</v>
      </c>
      <c r="P124" s="66">
        <v>0</v>
      </c>
      <c r="Q124" s="66">
        <v>0</v>
      </c>
      <c r="R124" s="61">
        <v>220500</v>
      </c>
      <c r="S124" s="61">
        <v>56000</v>
      </c>
      <c r="T124" s="61">
        <v>144500</v>
      </c>
      <c r="U124" s="61">
        <v>56000</v>
      </c>
      <c r="V124" s="61">
        <v>56000</v>
      </c>
      <c r="W124" s="61">
        <v>56000</v>
      </c>
      <c r="X124" s="61">
        <v>56000</v>
      </c>
      <c r="Y124" s="61">
        <v>0</v>
      </c>
      <c r="Z124" s="61">
        <v>0</v>
      </c>
      <c r="AA124" s="61">
        <v>0</v>
      </c>
      <c r="AB124" s="61">
        <v>0</v>
      </c>
      <c r="AC124" s="61">
        <v>0</v>
      </c>
      <c r="AD124" s="61">
        <v>424500</v>
      </c>
      <c r="AE124" s="370"/>
      <c r="AF124" s="370"/>
      <c r="AG124" s="370"/>
      <c r="AH124" s="370"/>
      <c r="AI124" s="370"/>
      <c r="AJ124" s="370"/>
      <c r="AK124" s="370"/>
      <c r="AL124" s="370"/>
      <c r="AM124" s="370"/>
      <c r="AN124" s="370"/>
      <c r="AO124" s="370"/>
      <c r="AP124" s="370"/>
      <c r="AQ124" s="370"/>
      <c r="AR124" s="370"/>
      <c r="AS124" s="370"/>
      <c r="AT124" s="370"/>
      <c r="AU124" s="370"/>
      <c r="AV124" s="370"/>
      <c r="AW124" s="370"/>
      <c r="AX124" s="370"/>
      <c r="AY124" s="370"/>
      <c r="AZ124" s="370"/>
      <c r="BA124" s="370"/>
      <c r="BB124" s="370"/>
      <c r="BC124" s="370"/>
    </row>
    <row r="125" spans="1:55" s="315" customFormat="1" ht="87" customHeight="1" x14ac:dyDescent="0.3">
      <c r="A125" s="1076"/>
      <c r="B125" s="775" t="s">
        <v>8</v>
      </c>
      <c r="C125" s="274" t="s">
        <v>243</v>
      </c>
      <c r="D125" s="883"/>
      <c r="E125" s="883">
        <v>200000</v>
      </c>
      <c r="F125" s="236">
        <v>200000</v>
      </c>
      <c r="G125" s="66">
        <v>0</v>
      </c>
      <c r="H125" s="66">
        <v>0</v>
      </c>
      <c r="I125" s="66">
        <v>0</v>
      </c>
      <c r="J125" s="66">
        <v>0</v>
      </c>
      <c r="K125" s="66">
        <v>0</v>
      </c>
      <c r="L125" s="66">
        <v>0</v>
      </c>
      <c r="M125" s="66">
        <v>0</v>
      </c>
      <c r="N125" s="66">
        <v>100000</v>
      </c>
      <c r="O125" s="66">
        <v>0</v>
      </c>
      <c r="P125" s="66">
        <v>0</v>
      </c>
      <c r="Q125" s="66">
        <v>0</v>
      </c>
      <c r="R125" s="61">
        <v>100000</v>
      </c>
      <c r="S125" s="61">
        <v>0</v>
      </c>
      <c r="T125" s="61">
        <v>0</v>
      </c>
      <c r="U125" s="61">
        <v>100000</v>
      </c>
      <c r="V125" s="61">
        <v>0</v>
      </c>
      <c r="W125" s="61">
        <v>0</v>
      </c>
      <c r="X125" s="61">
        <v>0</v>
      </c>
      <c r="Y125" s="61">
        <v>0</v>
      </c>
      <c r="Z125" s="61">
        <v>0</v>
      </c>
      <c r="AA125" s="61">
        <v>0</v>
      </c>
      <c r="AB125" s="61">
        <v>0</v>
      </c>
      <c r="AC125" s="61">
        <v>0</v>
      </c>
      <c r="AD125" s="61">
        <v>100000</v>
      </c>
      <c r="AE125" s="370"/>
      <c r="AF125" s="370"/>
      <c r="AG125" s="370"/>
      <c r="AH125" s="370"/>
      <c r="AI125" s="370"/>
      <c r="AJ125" s="370"/>
      <c r="AK125" s="370"/>
      <c r="AL125" s="370"/>
      <c r="AM125" s="370"/>
      <c r="AN125" s="370"/>
      <c r="AO125" s="370"/>
      <c r="AP125" s="370"/>
      <c r="AQ125" s="370"/>
      <c r="AR125" s="370"/>
      <c r="AS125" s="370"/>
      <c r="AT125" s="370"/>
      <c r="AU125" s="370"/>
      <c r="AV125" s="370"/>
      <c r="AW125" s="370"/>
      <c r="AX125" s="370"/>
      <c r="AY125" s="370"/>
      <c r="AZ125" s="370"/>
      <c r="BA125" s="370"/>
      <c r="BB125" s="370"/>
      <c r="BC125" s="370"/>
    </row>
    <row r="126" spans="1:55" s="315" customFormat="1" ht="88.95" customHeight="1" x14ac:dyDescent="0.3">
      <c r="A126" s="1077"/>
      <c r="B126" s="765" t="s">
        <v>9</v>
      </c>
      <c r="C126" s="245" t="s">
        <v>245</v>
      </c>
      <c r="D126" s="883">
        <v>1074908.6000000001</v>
      </c>
      <c r="E126" s="883"/>
      <c r="F126" s="236">
        <v>1074908.6000000001</v>
      </c>
      <c r="G126" s="66">
        <v>0</v>
      </c>
      <c r="H126" s="66">
        <v>0</v>
      </c>
      <c r="I126" s="66">
        <v>0</v>
      </c>
      <c r="J126" s="66">
        <v>14150</v>
      </c>
      <c r="K126" s="66">
        <v>0</v>
      </c>
      <c r="L126" s="66">
        <v>0</v>
      </c>
      <c r="M126" s="66">
        <v>100000</v>
      </c>
      <c r="N126" s="66">
        <v>0</v>
      </c>
      <c r="O126" s="66">
        <v>0</v>
      </c>
      <c r="P126" s="66">
        <v>250000</v>
      </c>
      <c r="Q126" s="66">
        <v>0</v>
      </c>
      <c r="R126" s="61">
        <v>364150</v>
      </c>
      <c r="S126" s="61">
        <v>0</v>
      </c>
      <c r="T126" s="61">
        <v>0</v>
      </c>
      <c r="U126" s="61">
        <v>182450</v>
      </c>
      <c r="V126" s="61">
        <v>166458</v>
      </c>
      <c r="W126" s="61">
        <v>0</v>
      </c>
      <c r="X126" s="61">
        <v>81850.600000000006</v>
      </c>
      <c r="Y126" s="61">
        <v>56000</v>
      </c>
      <c r="Z126" s="61">
        <v>56000</v>
      </c>
      <c r="AA126" s="61">
        <v>56000</v>
      </c>
      <c r="AB126" s="61">
        <v>56000</v>
      </c>
      <c r="AC126" s="61">
        <v>56000</v>
      </c>
      <c r="AD126" s="61">
        <v>710758.6</v>
      </c>
      <c r="AE126" s="370"/>
      <c r="AF126" s="370"/>
      <c r="AG126" s="370"/>
      <c r="AH126" s="370"/>
      <c r="AI126" s="370"/>
      <c r="AJ126" s="370"/>
      <c r="AK126" s="370"/>
      <c r="AL126" s="370"/>
      <c r="AM126" s="370"/>
      <c r="AN126" s="370"/>
      <c r="AO126" s="370"/>
      <c r="AP126" s="370"/>
      <c r="AQ126" s="370"/>
      <c r="AR126" s="370"/>
      <c r="AS126" s="370"/>
      <c r="AT126" s="370"/>
      <c r="AU126" s="370"/>
      <c r="AV126" s="370"/>
      <c r="AW126" s="370"/>
      <c r="AX126" s="370"/>
      <c r="AY126" s="370"/>
      <c r="AZ126" s="370"/>
      <c r="BA126" s="370"/>
      <c r="BB126" s="370"/>
      <c r="BC126" s="370"/>
    </row>
    <row r="127" spans="1:55" s="67" customFormat="1" ht="30.75" customHeight="1" x14ac:dyDescent="0.3">
      <c r="A127" s="1066" t="s">
        <v>829</v>
      </c>
      <c r="B127" s="1067"/>
      <c r="C127" s="1067"/>
      <c r="D127" s="1067"/>
      <c r="E127" s="1067"/>
      <c r="F127" s="1067"/>
      <c r="G127" s="1067"/>
      <c r="H127" s="1067"/>
      <c r="I127" s="1067"/>
      <c r="J127" s="1067"/>
      <c r="K127" s="1067"/>
      <c r="L127" s="1067"/>
      <c r="M127" s="1067"/>
      <c r="N127" s="1067"/>
      <c r="O127" s="1067"/>
      <c r="P127" s="1067"/>
      <c r="Q127" s="1067"/>
      <c r="R127" s="1067"/>
      <c r="S127" s="1067"/>
      <c r="T127" s="1067"/>
      <c r="U127" s="1067"/>
      <c r="V127" s="1067"/>
      <c r="W127" s="1067"/>
      <c r="X127" s="1067"/>
      <c r="Y127" s="1067"/>
      <c r="Z127" s="1067"/>
      <c r="AA127" s="1067"/>
      <c r="AB127" s="1067"/>
      <c r="AC127" s="1067"/>
      <c r="AD127" s="1068"/>
      <c r="AE127" s="663"/>
      <c r="AF127" s="663"/>
      <c r="AG127" s="663"/>
      <c r="AH127" s="663"/>
      <c r="AI127" s="663"/>
      <c r="AJ127" s="663"/>
      <c r="AK127" s="663"/>
      <c r="AL127" s="663"/>
      <c r="AM127" s="663"/>
      <c r="AN127" s="663"/>
      <c r="AO127" s="663"/>
      <c r="AP127" s="663"/>
      <c r="AQ127" s="663"/>
      <c r="AR127" s="663"/>
      <c r="AS127" s="663"/>
      <c r="AT127" s="663"/>
      <c r="AU127" s="663"/>
      <c r="AV127" s="663"/>
      <c r="AW127" s="663"/>
      <c r="AX127" s="663"/>
      <c r="AY127" s="663"/>
      <c r="AZ127" s="663"/>
      <c r="BA127" s="663"/>
      <c r="BB127" s="663"/>
      <c r="BC127" s="663"/>
    </row>
    <row r="128" spans="1:55" s="67" customFormat="1" ht="33" customHeight="1" x14ac:dyDescent="0.3">
      <c r="A128" s="282" t="s">
        <v>830</v>
      </c>
      <c r="B128" s="361"/>
      <c r="C128" s="284"/>
      <c r="D128" s="283"/>
      <c r="E128" s="283"/>
      <c r="F128" s="285"/>
      <c r="G128" s="222"/>
      <c r="H128" s="222"/>
      <c r="I128" s="222"/>
      <c r="J128" s="222"/>
      <c r="K128" s="222"/>
      <c r="L128" s="222"/>
      <c r="M128" s="222"/>
      <c r="N128" s="222"/>
      <c r="O128" s="222"/>
      <c r="P128" s="222"/>
      <c r="Q128" s="222"/>
      <c r="R128" s="222"/>
      <c r="S128" s="222"/>
      <c r="T128" s="222"/>
      <c r="U128" s="222"/>
      <c r="V128" s="222"/>
      <c r="W128" s="222"/>
      <c r="X128" s="222"/>
      <c r="Y128" s="222"/>
      <c r="Z128" s="222"/>
      <c r="AA128" s="222"/>
      <c r="AB128" s="222"/>
      <c r="AC128" s="222"/>
      <c r="AD128" s="222"/>
      <c r="AE128" s="663"/>
      <c r="AF128" s="663"/>
      <c r="AG128" s="663"/>
      <c r="AH128" s="663"/>
      <c r="AI128" s="663"/>
      <c r="AJ128" s="663"/>
      <c r="AK128" s="663"/>
      <c r="AL128" s="663"/>
      <c r="AM128" s="663"/>
      <c r="AN128" s="663"/>
      <c r="AO128" s="663"/>
      <c r="AP128" s="663"/>
      <c r="AQ128" s="663"/>
      <c r="AR128" s="663"/>
      <c r="AS128" s="663"/>
      <c r="AT128" s="663"/>
      <c r="AU128" s="663"/>
      <c r="AV128" s="663"/>
      <c r="AW128" s="663"/>
      <c r="AX128" s="663"/>
      <c r="AY128" s="663"/>
      <c r="AZ128" s="663"/>
      <c r="BA128" s="663"/>
      <c r="BB128" s="663"/>
      <c r="BC128" s="663"/>
    </row>
    <row r="129" spans="1:55" ht="35.25" customHeight="1" x14ac:dyDescent="0.3">
      <c r="A129" s="1080" t="s">
        <v>272</v>
      </c>
      <c r="B129" s="266"/>
      <c r="C129" s="272"/>
      <c r="D129" s="267">
        <v>500000</v>
      </c>
      <c r="E129" s="267">
        <v>0</v>
      </c>
      <c r="F129" s="267">
        <v>500000</v>
      </c>
      <c r="G129" s="267">
        <v>0</v>
      </c>
      <c r="H129" s="267">
        <v>0</v>
      </c>
      <c r="I129" s="267">
        <v>0</v>
      </c>
      <c r="J129" s="267">
        <v>0</v>
      </c>
      <c r="K129" s="267">
        <v>0</v>
      </c>
      <c r="L129" s="267">
        <v>0</v>
      </c>
      <c r="M129" s="267">
        <v>55700.01</v>
      </c>
      <c r="N129" s="267">
        <v>50000</v>
      </c>
      <c r="O129" s="267">
        <v>50000</v>
      </c>
      <c r="P129" s="267">
        <v>80000</v>
      </c>
      <c r="Q129" s="267">
        <v>64299.99</v>
      </c>
      <c r="R129" s="267">
        <v>300000</v>
      </c>
      <c r="S129" s="267">
        <v>0</v>
      </c>
      <c r="T129" s="267">
        <v>0</v>
      </c>
      <c r="U129" s="267">
        <v>20000</v>
      </c>
      <c r="V129" s="267">
        <v>75000</v>
      </c>
      <c r="W129" s="267">
        <v>10000</v>
      </c>
      <c r="X129" s="267">
        <v>0</v>
      </c>
      <c r="Y129" s="267">
        <v>0</v>
      </c>
      <c r="Z129" s="267">
        <v>85000</v>
      </c>
      <c r="AA129" s="267">
        <v>0</v>
      </c>
      <c r="AB129" s="267">
        <v>0</v>
      </c>
      <c r="AC129" s="267">
        <v>10000</v>
      </c>
      <c r="AD129" s="267">
        <v>200000</v>
      </c>
    </row>
    <row r="130" spans="1:55" s="315" customFormat="1" ht="105" customHeight="1" x14ac:dyDescent="0.3">
      <c r="A130" s="1082"/>
      <c r="B130" s="767" t="s">
        <v>2</v>
      </c>
      <c r="C130" s="245" t="s">
        <v>273</v>
      </c>
      <c r="D130" s="883">
        <v>500000</v>
      </c>
      <c r="E130" s="883"/>
      <c r="F130" s="236">
        <v>500000</v>
      </c>
      <c r="G130" s="66">
        <v>0</v>
      </c>
      <c r="H130" s="66">
        <v>0</v>
      </c>
      <c r="I130" s="66">
        <v>0</v>
      </c>
      <c r="J130" s="66">
        <v>0</v>
      </c>
      <c r="K130" s="66">
        <v>0</v>
      </c>
      <c r="L130" s="66">
        <v>0</v>
      </c>
      <c r="M130" s="66">
        <v>55700.01</v>
      </c>
      <c r="N130" s="66">
        <v>50000</v>
      </c>
      <c r="O130" s="66">
        <v>50000</v>
      </c>
      <c r="P130" s="66">
        <v>80000</v>
      </c>
      <c r="Q130" s="66">
        <v>64299.99</v>
      </c>
      <c r="R130" s="61">
        <v>300000</v>
      </c>
      <c r="S130" s="61">
        <v>0</v>
      </c>
      <c r="T130" s="61">
        <v>0</v>
      </c>
      <c r="U130" s="61">
        <v>20000</v>
      </c>
      <c r="V130" s="61">
        <v>75000</v>
      </c>
      <c r="W130" s="61">
        <v>10000</v>
      </c>
      <c r="X130" s="61">
        <v>0</v>
      </c>
      <c r="Y130" s="61">
        <v>0</v>
      </c>
      <c r="Z130" s="61">
        <v>85000</v>
      </c>
      <c r="AA130" s="61">
        <v>0</v>
      </c>
      <c r="AB130" s="61">
        <v>0</v>
      </c>
      <c r="AC130" s="61">
        <v>10000</v>
      </c>
      <c r="AD130" s="61">
        <v>200000</v>
      </c>
      <c r="AE130" s="370"/>
      <c r="AF130" s="370"/>
      <c r="AG130" s="370"/>
      <c r="AH130" s="370"/>
      <c r="AI130" s="370"/>
      <c r="AJ130" s="370"/>
      <c r="AK130" s="370"/>
      <c r="AL130" s="370"/>
      <c r="AM130" s="370"/>
      <c r="AN130" s="370"/>
      <c r="AO130" s="370"/>
      <c r="AP130" s="370"/>
      <c r="AQ130" s="370"/>
      <c r="AR130" s="370"/>
      <c r="AS130" s="370"/>
      <c r="AT130" s="370"/>
      <c r="AU130" s="370"/>
      <c r="AV130" s="370"/>
      <c r="AW130" s="370"/>
      <c r="AX130" s="370"/>
      <c r="AY130" s="370"/>
      <c r="AZ130" s="370"/>
      <c r="BA130" s="370"/>
      <c r="BB130" s="370"/>
      <c r="BC130" s="370"/>
    </row>
    <row r="131" spans="1:55" s="67" customFormat="1" ht="33" customHeight="1" x14ac:dyDescent="0.3">
      <c r="A131" s="1080" t="s">
        <v>97</v>
      </c>
      <c r="B131" s="266"/>
      <c r="C131" s="288"/>
      <c r="D131" s="267">
        <v>1584595.48</v>
      </c>
      <c r="E131" s="267">
        <v>6412670.9199999999</v>
      </c>
      <c r="F131" s="267">
        <v>7997266.4000000004</v>
      </c>
      <c r="G131" s="267">
        <v>279585</v>
      </c>
      <c r="H131" s="267">
        <v>869336</v>
      </c>
      <c r="I131" s="267">
        <v>175146.65</v>
      </c>
      <c r="J131" s="267">
        <v>122180.92</v>
      </c>
      <c r="K131" s="267">
        <v>25000</v>
      </c>
      <c r="L131" s="267">
        <v>0</v>
      </c>
      <c r="M131" s="267">
        <v>224533.74</v>
      </c>
      <c r="N131" s="267">
        <v>378640.92</v>
      </c>
      <c r="O131" s="267">
        <v>380000</v>
      </c>
      <c r="P131" s="267">
        <v>542000</v>
      </c>
      <c r="Q131" s="267">
        <v>582000</v>
      </c>
      <c r="R131" s="267">
        <v>3578423.23</v>
      </c>
      <c r="S131" s="267">
        <v>90000</v>
      </c>
      <c r="T131" s="267">
        <v>741912.09</v>
      </c>
      <c r="U131" s="267">
        <v>455000</v>
      </c>
      <c r="V131" s="267">
        <v>515000</v>
      </c>
      <c r="W131" s="267">
        <v>491000</v>
      </c>
      <c r="X131" s="267">
        <v>1371811.9000000001</v>
      </c>
      <c r="Y131" s="267">
        <v>215000</v>
      </c>
      <c r="Z131" s="267">
        <v>215000</v>
      </c>
      <c r="AA131" s="267">
        <v>188119.18</v>
      </c>
      <c r="AB131" s="267">
        <v>136000</v>
      </c>
      <c r="AC131" s="267">
        <v>0</v>
      </c>
      <c r="AD131" s="267">
        <v>4418843.17</v>
      </c>
      <c r="AE131" s="663"/>
      <c r="AF131" s="663"/>
      <c r="AG131" s="663"/>
      <c r="AH131" s="663"/>
      <c r="AI131" s="663"/>
      <c r="AJ131" s="663"/>
      <c r="AK131" s="663"/>
      <c r="AL131" s="663"/>
      <c r="AM131" s="663"/>
      <c r="AN131" s="663"/>
      <c r="AO131" s="663"/>
      <c r="AP131" s="663"/>
      <c r="AQ131" s="663"/>
      <c r="AR131" s="663"/>
      <c r="AS131" s="663"/>
      <c r="AT131" s="663"/>
      <c r="AU131" s="663"/>
      <c r="AV131" s="663"/>
      <c r="AW131" s="663"/>
      <c r="AX131" s="663"/>
      <c r="AY131" s="663"/>
      <c r="AZ131" s="663"/>
      <c r="BA131" s="663"/>
      <c r="BB131" s="663"/>
      <c r="BC131" s="663"/>
    </row>
    <row r="132" spans="1:55" s="315" customFormat="1" ht="109.2" customHeight="1" x14ac:dyDescent="0.3">
      <c r="A132" s="1081"/>
      <c r="B132" s="765" t="s">
        <v>2</v>
      </c>
      <c r="C132" s="232" t="s">
        <v>267</v>
      </c>
      <c r="D132" s="883"/>
      <c r="E132" s="883">
        <v>4352639.6500000004</v>
      </c>
      <c r="F132" s="236">
        <v>4352639.6500000004</v>
      </c>
      <c r="G132" s="66">
        <v>275575</v>
      </c>
      <c r="H132" s="66">
        <v>868461</v>
      </c>
      <c r="I132" s="66">
        <v>170031.65</v>
      </c>
      <c r="J132" s="66">
        <v>0</v>
      </c>
      <c r="K132" s="66">
        <v>0</v>
      </c>
      <c r="L132" s="66">
        <v>0</v>
      </c>
      <c r="M132" s="66">
        <v>0</v>
      </c>
      <c r="N132" s="66">
        <v>223640.91999999998</v>
      </c>
      <c r="O132" s="66">
        <v>290000</v>
      </c>
      <c r="P132" s="66">
        <v>190000</v>
      </c>
      <c r="Q132" s="66">
        <v>300000</v>
      </c>
      <c r="R132" s="61">
        <v>2317708.5699999998</v>
      </c>
      <c r="S132" s="61">
        <v>0</v>
      </c>
      <c r="T132" s="61">
        <v>290000</v>
      </c>
      <c r="U132" s="61">
        <v>200000</v>
      </c>
      <c r="V132" s="61">
        <v>200000</v>
      </c>
      <c r="W132" s="61">
        <v>290000</v>
      </c>
      <c r="X132" s="61">
        <v>1054931.08</v>
      </c>
      <c r="Y132" s="61">
        <v>0</v>
      </c>
      <c r="Z132" s="61">
        <v>0</v>
      </c>
      <c r="AA132" s="61">
        <v>0</v>
      </c>
      <c r="AB132" s="61">
        <v>0</v>
      </c>
      <c r="AC132" s="61">
        <v>0</v>
      </c>
      <c r="AD132" s="61">
        <v>2034931.08</v>
      </c>
      <c r="AE132" s="370"/>
      <c r="AF132" s="370"/>
      <c r="AG132" s="370"/>
      <c r="AH132" s="370"/>
      <c r="AI132" s="370"/>
      <c r="AJ132" s="370"/>
      <c r="AK132" s="370"/>
      <c r="AL132" s="370"/>
      <c r="AM132" s="370"/>
      <c r="AN132" s="370"/>
      <c r="AO132" s="370"/>
      <c r="AP132" s="370"/>
      <c r="AQ132" s="370"/>
      <c r="AR132" s="370"/>
      <c r="AS132" s="370"/>
      <c r="AT132" s="370"/>
      <c r="AU132" s="370"/>
      <c r="AV132" s="370"/>
      <c r="AW132" s="370"/>
      <c r="AX132" s="370"/>
      <c r="AY132" s="370"/>
      <c r="AZ132" s="370"/>
      <c r="BA132" s="370"/>
      <c r="BB132" s="370"/>
      <c r="BC132" s="370"/>
    </row>
    <row r="133" spans="1:55" s="315" customFormat="1" ht="87.75" customHeight="1" x14ac:dyDescent="0.3">
      <c r="A133" s="1081"/>
      <c r="B133" s="767" t="s">
        <v>3</v>
      </c>
      <c r="C133" s="245" t="s">
        <v>268</v>
      </c>
      <c r="D133" s="883"/>
      <c r="E133" s="883">
        <v>2060031.2699999998</v>
      </c>
      <c r="F133" s="236">
        <v>2060031.2699999998</v>
      </c>
      <c r="G133" s="66">
        <v>4010</v>
      </c>
      <c r="H133" s="66">
        <v>875</v>
      </c>
      <c r="I133" s="66">
        <v>5115</v>
      </c>
      <c r="J133" s="66">
        <v>97180.92</v>
      </c>
      <c r="K133" s="66">
        <v>0</v>
      </c>
      <c r="L133" s="66">
        <v>0</v>
      </c>
      <c r="M133" s="66">
        <v>92819.08</v>
      </c>
      <c r="N133" s="66">
        <v>90000</v>
      </c>
      <c r="O133" s="66">
        <v>90000</v>
      </c>
      <c r="P133" s="66">
        <v>172000</v>
      </c>
      <c r="Q133" s="66">
        <v>162000</v>
      </c>
      <c r="R133" s="61">
        <v>714000</v>
      </c>
      <c r="S133" s="61">
        <v>0</v>
      </c>
      <c r="T133" s="61">
        <v>261912.09</v>
      </c>
      <c r="U133" s="61">
        <v>150000</v>
      </c>
      <c r="V133" s="61">
        <v>150000</v>
      </c>
      <c r="W133" s="61">
        <v>126000</v>
      </c>
      <c r="X133" s="61">
        <v>140000</v>
      </c>
      <c r="Y133" s="61">
        <v>140000</v>
      </c>
      <c r="Z133" s="61">
        <v>140000</v>
      </c>
      <c r="AA133" s="61">
        <v>138119.18</v>
      </c>
      <c r="AB133" s="61">
        <v>100000</v>
      </c>
      <c r="AC133" s="61">
        <v>0</v>
      </c>
      <c r="AD133" s="61">
        <v>1346031.2699999998</v>
      </c>
      <c r="AE133" s="370"/>
      <c r="AF133" s="370"/>
      <c r="AG133" s="370"/>
      <c r="AH133" s="370"/>
      <c r="AI133" s="370"/>
      <c r="AJ133" s="370"/>
      <c r="AK133" s="370"/>
      <c r="AL133" s="370"/>
      <c r="AM133" s="370"/>
      <c r="AN133" s="370"/>
      <c r="AO133" s="370"/>
      <c r="AP133" s="370"/>
      <c r="AQ133" s="370"/>
      <c r="AR133" s="370"/>
      <c r="AS133" s="370"/>
      <c r="AT133" s="370"/>
      <c r="AU133" s="370"/>
      <c r="AV133" s="370"/>
      <c r="AW133" s="370"/>
      <c r="AX133" s="370"/>
      <c r="AY133" s="370"/>
      <c r="AZ133" s="370"/>
      <c r="BA133" s="370"/>
      <c r="BB133" s="370"/>
      <c r="BC133" s="370"/>
    </row>
    <row r="134" spans="1:55" s="315" customFormat="1" ht="98.4" customHeight="1" x14ac:dyDescent="0.3">
      <c r="A134" s="1081"/>
      <c r="B134" s="765" t="s">
        <v>4</v>
      </c>
      <c r="C134" s="232" t="s">
        <v>616</v>
      </c>
      <c r="D134" s="883">
        <v>966000</v>
      </c>
      <c r="E134" s="883"/>
      <c r="F134" s="236">
        <v>966000</v>
      </c>
      <c r="G134" s="66">
        <v>0</v>
      </c>
      <c r="H134" s="66">
        <v>0</v>
      </c>
      <c r="I134" s="66">
        <v>0</v>
      </c>
      <c r="J134" s="66">
        <v>0</v>
      </c>
      <c r="K134" s="66">
        <v>0</v>
      </c>
      <c r="L134" s="66">
        <v>0</v>
      </c>
      <c r="M134" s="66">
        <v>0</v>
      </c>
      <c r="N134" s="66">
        <v>0</v>
      </c>
      <c r="O134" s="66">
        <v>0</v>
      </c>
      <c r="P134" s="66">
        <v>135000</v>
      </c>
      <c r="Q134" s="66">
        <v>75000</v>
      </c>
      <c r="R134" s="61">
        <v>210000</v>
      </c>
      <c r="S134" s="61">
        <v>90000</v>
      </c>
      <c r="T134" s="61">
        <v>100000</v>
      </c>
      <c r="U134" s="61">
        <v>105000</v>
      </c>
      <c r="V134" s="61">
        <v>75000</v>
      </c>
      <c r="W134" s="61">
        <v>75000</v>
      </c>
      <c r="X134" s="61">
        <v>75000</v>
      </c>
      <c r="Y134" s="61">
        <v>75000</v>
      </c>
      <c r="Z134" s="61">
        <v>75000</v>
      </c>
      <c r="AA134" s="61">
        <v>50000</v>
      </c>
      <c r="AB134" s="61">
        <v>36000</v>
      </c>
      <c r="AC134" s="61">
        <v>0</v>
      </c>
      <c r="AD134" s="61">
        <v>756000</v>
      </c>
      <c r="AE134" s="370"/>
      <c r="AF134" s="370"/>
      <c r="AG134" s="370"/>
      <c r="AH134" s="370"/>
      <c r="AI134" s="370"/>
      <c r="AJ134" s="370"/>
      <c r="AK134" s="370"/>
      <c r="AL134" s="370"/>
      <c r="AM134" s="370"/>
      <c r="AN134" s="370"/>
      <c r="AO134" s="370"/>
      <c r="AP134" s="370"/>
      <c r="AQ134" s="370"/>
      <c r="AR134" s="370"/>
      <c r="AS134" s="370"/>
      <c r="AT134" s="370"/>
      <c r="AU134" s="370"/>
      <c r="AV134" s="370"/>
      <c r="AW134" s="370"/>
      <c r="AX134" s="370"/>
      <c r="AY134" s="370"/>
      <c r="AZ134" s="370"/>
      <c r="BA134" s="370"/>
      <c r="BB134" s="370"/>
      <c r="BC134" s="370"/>
    </row>
    <row r="135" spans="1:55" s="315" customFormat="1" ht="58.95" customHeight="1" x14ac:dyDescent="0.3">
      <c r="A135" s="1082"/>
      <c r="B135" s="765" t="s">
        <v>8</v>
      </c>
      <c r="C135" s="232" t="s">
        <v>613</v>
      </c>
      <c r="D135" s="883">
        <v>618595.48</v>
      </c>
      <c r="E135" s="883"/>
      <c r="F135" s="236">
        <v>618595.48</v>
      </c>
      <c r="G135" s="66">
        <v>0</v>
      </c>
      <c r="H135" s="66">
        <v>0</v>
      </c>
      <c r="I135" s="66">
        <v>0</v>
      </c>
      <c r="J135" s="66">
        <v>25000</v>
      </c>
      <c r="K135" s="66">
        <v>25000</v>
      </c>
      <c r="L135" s="66">
        <v>0</v>
      </c>
      <c r="M135" s="66">
        <v>131714.66</v>
      </c>
      <c r="N135" s="66">
        <v>65000</v>
      </c>
      <c r="O135" s="66">
        <v>0</v>
      </c>
      <c r="P135" s="66">
        <v>45000</v>
      </c>
      <c r="Q135" s="66">
        <v>45000</v>
      </c>
      <c r="R135" s="61">
        <v>336714.66000000003</v>
      </c>
      <c r="S135" s="61">
        <v>0</v>
      </c>
      <c r="T135" s="61">
        <v>90000</v>
      </c>
      <c r="U135" s="61">
        <v>0</v>
      </c>
      <c r="V135" s="61">
        <v>90000</v>
      </c>
      <c r="W135" s="61">
        <v>0</v>
      </c>
      <c r="X135" s="61">
        <v>101880.82</v>
      </c>
      <c r="Y135" s="61">
        <v>0</v>
      </c>
      <c r="Z135" s="61">
        <v>0</v>
      </c>
      <c r="AA135" s="61">
        <v>0</v>
      </c>
      <c r="AB135" s="61">
        <v>0</v>
      </c>
      <c r="AC135" s="61">
        <v>0</v>
      </c>
      <c r="AD135" s="61">
        <v>281880.82</v>
      </c>
      <c r="AE135" s="370"/>
      <c r="AF135" s="370"/>
      <c r="AG135" s="370"/>
      <c r="AH135" s="370"/>
      <c r="AI135" s="370"/>
      <c r="AJ135" s="370"/>
      <c r="AK135" s="370"/>
      <c r="AL135" s="370"/>
      <c r="AM135" s="370"/>
      <c r="AN135" s="370"/>
      <c r="AO135" s="370"/>
      <c r="AP135" s="370"/>
      <c r="AQ135" s="370"/>
      <c r="AR135" s="370"/>
      <c r="AS135" s="370"/>
      <c r="AT135" s="370"/>
      <c r="AU135" s="370"/>
      <c r="AV135" s="370"/>
      <c r="AW135" s="370"/>
      <c r="AX135" s="370"/>
      <c r="AY135" s="370"/>
      <c r="AZ135" s="370"/>
      <c r="BA135" s="370"/>
      <c r="BB135" s="370"/>
      <c r="BC135" s="370"/>
    </row>
    <row r="136" spans="1:55" ht="42.75" customHeight="1" x14ac:dyDescent="0.3">
      <c r="A136" s="1075" t="s">
        <v>99</v>
      </c>
      <c r="B136" s="266"/>
      <c r="C136" s="272"/>
      <c r="D136" s="267">
        <v>0</v>
      </c>
      <c r="E136" s="267">
        <v>2212960</v>
      </c>
      <c r="F136" s="267">
        <v>2212960</v>
      </c>
      <c r="G136" s="267">
        <v>0</v>
      </c>
      <c r="H136" s="267">
        <v>0</v>
      </c>
      <c r="I136" s="267">
        <v>0</v>
      </c>
      <c r="J136" s="267">
        <v>100000</v>
      </c>
      <c r="K136" s="267">
        <v>86600</v>
      </c>
      <c r="L136" s="267">
        <v>0</v>
      </c>
      <c r="M136" s="267">
        <v>442720</v>
      </c>
      <c r="N136" s="267">
        <v>879320</v>
      </c>
      <c r="O136" s="267">
        <v>0</v>
      </c>
      <c r="P136" s="267">
        <v>629320</v>
      </c>
      <c r="Q136" s="267">
        <v>0</v>
      </c>
      <c r="R136" s="267">
        <v>2137960</v>
      </c>
      <c r="S136" s="267">
        <v>0</v>
      </c>
      <c r="T136" s="267">
        <v>75000</v>
      </c>
      <c r="U136" s="267">
        <v>0</v>
      </c>
      <c r="V136" s="267">
        <v>0</v>
      </c>
      <c r="W136" s="267">
        <v>0</v>
      </c>
      <c r="X136" s="267">
        <v>0</v>
      </c>
      <c r="Y136" s="267">
        <v>0</v>
      </c>
      <c r="Z136" s="267">
        <v>0</v>
      </c>
      <c r="AA136" s="267">
        <v>0</v>
      </c>
      <c r="AB136" s="267">
        <v>0</v>
      </c>
      <c r="AC136" s="267">
        <v>0</v>
      </c>
      <c r="AD136" s="267">
        <v>75000</v>
      </c>
    </row>
    <row r="137" spans="1:55" s="315" customFormat="1" ht="51" customHeight="1" x14ac:dyDescent="0.3">
      <c r="A137" s="1076"/>
      <c r="B137" s="766" t="s">
        <v>2</v>
      </c>
      <c r="C137" s="273" t="s">
        <v>487</v>
      </c>
      <c r="D137" s="883"/>
      <c r="E137" s="883">
        <v>954320</v>
      </c>
      <c r="F137" s="236">
        <v>954320</v>
      </c>
      <c r="G137" s="66">
        <v>0</v>
      </c>
      <c r="H137" s="66">
        <v>0</v>
      </c>
      <c r="I137" s="66">
        <v>0</v>
      </c>
      <c r="J137" s="66">
        <v>100000</v>
      </c>
      <c r="K137" s="66">
        <v>86600</v>
      </c>
      <c r="L137" s="66">
        <v>0</v>
      </c>
      <c r="M137" s="66">
        <v>442720</v>
      </c>
      <c r="N137" s="66">
        <v>250000</v>
      </c>
      <c r="O137" s="66">
        <v>0</v>
      </c>
      <c r="P137" s="66">
        <v>0</v>
      </c>
      <c r="Q137" s="66">
        <v>0</v>
      </c>
      <c r="R137" s="61">
        <v>879320</v>
      </c>
      <c r="S137" s="61">
        <v>0</v>
      </c>
      <c r="T137" s="61">
        <v>75000</v>
      </c>
      <c r="U137" s="61">
        <v>0</v>
      </c>
      <c r="V137" s="61">
        <v>0</v>
      </c>
      <c r="W137" s="61">
        <v>0</v>
      </c>
      <c r="X137" s="61">
        <v>0</v>
      </c>
      <c r="Y137" s="61">
        <v>0</v>
      </c>
      <c r="Z137" s="61">
        <v>0</v>
      </c>
      <c r="AA137" s="61">
        <v>0</v>
      </c>
      <c r="AB137" s="61">
        <v>0</v>
      </c>
      <c r="AC137" s="61">
        <v>0</v>
      </c>
      <c r="AD137" s="61">
        <v>75000</v>
      </c>
      <c r="AE137" s="370"/>
      <c r="AF137" s="370"/>
      <c r="AG137" s="370"/>
      <c r="AH137" s="370"/>
      <c r="AI137" s="370"/>
      <c r="AJ137" s="370"/>
      <c r="AK137" s="370"/>
      <c r="AL137" s="370"/>
      <c r="AM137" s="370"/>
      <c r="AN137" s="370"/>
      <c r="AO137" s="370"/>
      <c r="AP137" s="370"/>
      <c r="AQ137" s="370"/>
      <c r="AR137" s="370"/>
      <c r="AS137" s="370"/>
      <c r="AT137" s="370"/>
      <c r="AU137" s="370"/>
      <c r="AV137" s="370"/>
      <c r="AW137" s="370"/>
      <c r="AX137" s="370"/>
      <c r="AY137" s="370"/>
      <c r="AZ137" s="370"/>
      <c r="BA137" s="370"/>
      <c r="BB137" s="370"/>
      <c r="BC137" s="370"/>
    </row>
    <row r="138" spans="1:55" s="315" customFormat="1" ht="63" customHeight="1" x14ac:dyDescent="0.3">
      <c r="A138" s="1076"/>
      <c r="B138" s="765" t="s">
        <v>3</v>
      </c>
      <c r="C138" s="273" t="s">
        <v>488</v>
      </c>
      <c r="D138" s="883"/>
      <c r="E138" s="883">
        <v>629320</v>
      </c>
      <c r="F138" s="236">
        <v>629320</v>
      </c>
      <c r="G138" s="66">
        <v>0</v>
      </c>
      <c r="H138" s="66">
        <v>0</v>
      </c>
      <c r="I138" s="66">
        <v>0</v>
      </c>
      <c r="J138" s="66">
        <v>0</v>
      </c>
      <c r="K138" s="66">
        <v>0</v>
      </c>
      <c r="L138" s="66">
        <v>0</v>
      </c>
      <c r="M138" s="66">
        <v>0</v>
      </c>
      <c r="N138" s="66">
        <v>629320</v>
      </c>
      <c r="O138" s="66">
        <v>0</v>
      </c>
      <c r="P138" s="66">
        <v>0</v>
      </c>
      <c r="Q138" s="66">
        <v>0</v>
      </c>
      <c r="R138" s="61">
        <v>629320</v>
      </c>
      <c r="S138" s="61">
        <v>0</v>
      </c>
      <c r="T138" s="61">
        <v>0</v>
      </c>
      <c r="U138" s="61">
        <v>0</v>
      </c>
      <c r="V138" s="61">
        <v>0</v>
      </c>
      <c r="W138" s="61">
        <v>0</v>
      </c>
      <c r="X138" s="61">
        <v>0</v>
      </c>
      <c r="Y138" s="61">
        <v>0</v>
      </c>
      <c r="Z138" s="61">
        <v>0</v>
      </c>
      <c r="AA138" s="61">
        <v>0</v>
      </c>
      <c r="AB138" s="61">
        <v>0</v>
      </c>
      <c r="AC138" s="61">
        <v>0</v>
      </c>
      <c r="AD138" s="61">
        <v>0</v>
      </c>
      <c r="AE138" s="370"/>
      <c r="AF138" s="370"/>
      <c r="AG138" s="370"/>
      <c r="AH138" s="370"/>
      <c r="AI138" s="370"/>
      <c r="AJ138" s="370"/>
      <c r="AK138" s="370"/>
      <c r="AL138" s="370"/>
      <c r="AM138" s="370"/>
      <c r="AN138" s="370"/>
      <c r="AO138" s="370"/>
      <c r="AP138" s="370"/>
      <c r="AQ138" s="370"/>
      <c r="AR138" s="370"/>
      <c r="AS138" s="370"/>
      <c r="AT138" s="370"/>
      <c r="AU138" s="370"/>
      <c r="AV138" s="370"/>
      <c r="AW138" s="370"/>
      <c r="AX138" s="370"/>
      <c r="AY138" s="370"/>
      <c r="AZ138" s="370"/>
      <c r="BA138" s="370"/>
      <c r="BB138" s="370"/>
      <c r="BC138" s="370"/>
    </row>
    <row r="139" spans="1:55" s="315" customFormat="1" ht="54" customHeight="1" x14ac:dyDescent="0.3">
      <c r="A139" s="1077"/>
      <c r="B139" s="765" t="s">
        <v>4</v>
      </c>
      <c r="C139" s="273" t="s">
        <v>489</v>
      </c>
      <c r="D139" s="883"/>
      <c r="E139" s="883">
        <v>629320</v>
      </c>
      <c r="F139" s="236">
        <v>629320</v>
      </c>
      <c r="G139" s="66">
        <v>0</v>
      </c>
      <c r="H139" s="66">
        <v>0</v>
      </c>
      <c r="I139" s="66">
        <v>0</v>
      </c>
      <c r="J139" s="66">
        <v>0</v>
      </c>
      <c r="K139" s="66">
        <v>0</v>
      </c>
      <c r="L139" s="66">
        <v>0</v>
      </c>
      <c r="M139" s="66">
        <v>0</v>
      </c>
      <c r="N139" s="66">
        <v>0</v>
      </c>
      <c r="O139" s="66">
        <v>0</v>
      </c>
      <c r="P139" s="66">
        <v>629320</v>
      </c>
      <c r="Q139" s="66">
        <v>0</v>
      </c>
      <c r="R139" s="61">
        <v>629320</v>
      </c>
      <c r="S139" s="61">
        <v>0</v>
      </c>
      <c r="T139" s="61">
        <v>0</v>
      </c>
      <c r="U139" s="61">
        <v>0</v>
      </c>
      <c r="V139" s="61">
        <v>0</v>
      </c>
      <c r="W139" s="61">
        <v>0</v>
      </c>
      <c r="X139" s="61">
        <v>0</v>
      </c>
      <c r="Y139" s="61">
        <v>0</v>
      </c>
      <c r="Z139" s="61">
        <v>0</v>
      </c>
      <c r="AA139" s="61">
        <v>0</v>
      </c>
      <c r="AB139" s="61">
        <v>0</v>
      </c>
      <c r="AC139" s="61">
        <v>0</v>
      </c>
      <c r="AD139" s="61">
        <v>0</v>
      </c>
      <c r="AE139" s="370"/>
      <c r="AF139" s="370"/>
      <c r="AG139" s="370"/>
      <c r="AH139" s="370"/>
      <c r="AI139" s="370"/>
      <c r="AJ139" s="370"/>
      <c r="AK139" s="370"/>
      <c r="AL139" s="370"/>
      <c r="AM139" s="370"/>
      <c r="AN139" s="370"/>
      <c r="AO139" s="370"/>
      <c r="AP139" s="370"/>
      <c r="AQ139" s="370"/>
      <c r="AR139" s="370"/>
      <c r="AS139" s="370"/>
      <c r="AT139" s="370"/>
      <c r="AU139" s="370"/>
      <c r="AV139" s="370"/>
      <c r="AW139" s="370"/>
      <c r="AX139" s="370"/>
      <c r="AY139" s="370"/>
      <c r="AZ139" s="370"/>
      <c r="BA139" s="370"/>
      <c r="BB139" s="370"/>
      <c r="BC139" s="370"/>
    </row>
    <row r="140" spans="1:55" s="67" customFormat="1" ht="38.25" customHeight="1" x14ac:dyDescent="0.3">
      <c r="A140" s="1085" t="s">
        <v>831</v>
      </c>
      <c r="B140" s="1086"/>
      <c r="C140" s="1086"/>
      <c r="D140" s="1086"/>
      <c r="E140" s="1086"/>
      <c r="F140" s="1086"/>
      <c r="G140" s="1086"/>
      <c r="H140" s="1086"/>
      <c r="I140" s="1086"/>
      <c r="J140" s="1086"/>
      <c r="K140" s="1086"/>
      <c r="L140" s="1086"/>
      <c r="M140" s="1086"/>
      <c r="N140" s="1086"/>
      <c r="O140" s="1086"/>
      <c r="P140" s="1086"/>
      <c r="Q140" s="1086"/>
      <c r="R140" s="1086"/>
      <c r="S140" s="1086"/>
      <c r="T140" s="1086"/>
      <c r="U140" s="1086"/>
      <c r="V140" s="1086"/>
      <c r="W140" s="1086"/>
      <c r="X140" s="1086"/>
      <c r="Y140" s="1086"/>
      <c r="Z140" s="1086"/>
      <c r="AA140" s="1086"/>
      <c r="AB140" s="1086"/>
      <c r="AC140" s="1086"/>
      <c r="AD140" s="1087"/>
      <c r="AE140" s="663"/>
      <c r="AF140" s="663"/>
      <c r="AG140" s="663"/>
      <c r="AH140" s="663"/>
      <c r="AI140" s="663"/>
      <c r="AJ140" s="663"/>
      <c r="AK140" s="663"/>
      <c r="AL140" s="663"/>
      <c r="AM140" s="663"/>
      <c r="AN140" s="663"/>
      <c r="AO140" s="663"/>
      <c r="AP140" s="663"/>
      <c r="AQ140" s="663"/>
      <c r="AR140" s="663"/>
      <c r="AS140" s="663"/>
      <c r="AT140" s="663"/>
      <c r="AU140" s="663"/>
      <c r="AV140" s="663"/>
      <c r="AW140" s="663"/>
      <c r="AX140" s="663"/>
      <c r="AY140" s="663"/>
      <c r="AZ140" s="663"/>
      <c r="BA140" s="663"/>
      <c r="BB140" s="663"/>
      <c r="BC140" s="663"/>
    </row>
    <row r="141" spans="1:55" ht="42.75" customHeight="1" x14ac:dyDescent="0.3">
      <c r="A141" s="1075" t="s">
        <v>100</v>
      </c>
      <c r="B141" s="266"/>
      <c r="C141" s="272"/>
      <c r="D141" s="267">
        <v>165000</v>
      </c>
      <c r="E141" s="267">
        <v>1340530</v>
      </c>
      <c r="F141" s="267">
        <v>1505530</v>
      </c>
      <c r="G141" s="267">
        <v>0</v>
      </c>
      <c r="H141" s="267">
        <v>0</v>
      </c>
      <c r="I141" s="267">
        <v>0</v>
      </c>
      <c r="J141" s="267">
        <v>0</v>
      </c>
      <c r="K141" s="267">
        <v>0</v>
      </c>
      <c r="L141" s="267">
        <v>0</v>
      </c>
      <c r="M141" s="267">
        <v>0</v>
      </c>
      <c r="N141" s="267">
        <v>0</v>
      </c>
      <c r="O141" s="267">
        <v>0</v>
      </c>
      <c r="P141" s="267">
        <v>566530</v>
      </c>
      <c r="Q141" s="267">
        <v>0</v>
      </c>
      <c r="R141" s="267">
        <v>566530</v>
      </c>
      <c r="S141" s="267">
        <v>0</v>
      </c>
      <c r="T141" s="267">
        <v>200000</v>
      </c>
      <c r="U141" s="267">
        <v>0</v>
      </c>
      <c r="V141" s="267">
        <v>739000</v>
      </c>
      <c r="W141" s="267">
        <v>0</v>
      </c>
      <c r="X141" s="267">
        <v>0</v>
      </c>
      <c r="Y141" s="267">
        <v>0</v>
      </c>
      <c r="Z141" s="267">
        <v>0</v>
      </c>
      <c r="AA141" s="267">
        <v>0</v>
      </c>
      <c r="AB141" s="267">
        <v>0</v>
      </c>
      <c r="AC141" s="267">
        <v>0</v>
      </c>
      <c r="AD141" s="267">
        <v>939000</v>
      </c>
    </row>
    <row r="142" spans="1:55" s="315" customFormat="1" ht="85.95" customHeight="1" x14ac:dyDescent="0.3">
      <c r="A142" s="1076"/>
      <c r="B142" s="767" t="s">
        <v>2</v>
      </c>
      <c r="C142" s="245" t="s">
        <v>264</v>
      </c>
      <c r="D142" s="883"/>
      <c r="E142" s="883">
        <v>1223750</v>
      </c>
      <c r="F142" s="236">
        <v>1223750</v>
      </c>
      <c r="G142" s="66">
        <v>0</v>
      </c>
      <c r="H142" s="66">
        <v>0</v>
      </c>
      <c r="I142" s="66">
        <v>0</v>
      </c>
      <c r="J142" s="66">
        <v>0</v>
      </c>
      <c r="K142" s="66">
        <v>0</v>
      </c>
      <c r="L142" s="66">
        <v>0</v>
      </c>
      <c r="M142" s="66">
        <v>0</v>
      </c>
      <c r="N142" s="66">
        <v>0</v>
      </c>
      <c r="O142" s="66">
        <v>0</v>
      </c>
      <c r="P142" s="66">
        <v>284750</v>
      </c>
      <c r="Q142" s="66">
        <v>0</v>
      </c>
      <c r="R142" s="61">
        <v>284750</v>
      </c>
      <c r="S142" s="61">
        <v>0</v>
      </c>
      <c r="T142" s="61">
        <v>200000</v>
      </c>
      <c r="U142" s="61">
        <v>0</v>
      </c>
      <c r="V142" s="61">
        <v>739000</v>
      </c>
      <c r="W142" s="61">
        <v>0</v>
      </c>
      <c r="X142" s="61">
        <v>0</v>
      </c>
      <c r="Y142" s="61">
        <v>0</v>
      </c>
      <c r="Z142" s="61">
        <v>0</v>
      </c>
      <c r="AA142" s="61">
        <v>0</v>
      </c>
      <c r="AB142" s="61">
        <v>0</v>
      </c>
      <c r="AC142" s="61">
        <v>0</v>
      </c>
      <c r="AD142" s="61">
        <v>939000</v>
      </c>
      <c r="AE142" s="370"/>
      <c r="AF142" s="370"/>
      <c r="AG142" s="370"/>
      <c r="AH142" s="370"/>
      <c r="AI142" s="370"/>
      <c r="AJ142" s="370"/>
      <c r="AK142" s="370"/>
      <c r="AL142" s="370"/>
      <c r="AM142" s="370"/>
      <c r="AN142" s="370"/>
      <c r="AO142" s="370"/>
      <c r="AP142" s="370"/>
      <c r="AQ142" s="370"/>
      <c r="AR142" s="370"/>
      <c r="AS142" s="370"/>
      <c r="AT142" s="370"/>
      <c r="AU142" s="370"/>
      <c r="AV142" s="370"/>
      <c r="AW142" s="370"/>
      <c r="AX142" s="370"/>
      <c r="AY142" s="370"/>
      <c r="AZ142" s="370"/>
      <c r="BA142" s="370"/>
      <c r="BB142" s="370"/>
      <c r="BC142" s="370"/>
    </row>
    <row r="143" spans="1:55" s="315" customFormat="1" ht="91.95" customHeight="1" x14ac:dyDescent="0.3">
      <c r="A143" s="1076"/>
      <c r="B143" s="776" t="s">
        <v>3</v>
      </c>
      <c r="C143" s="232" t="s">
        <v>263</v>
      </c>
      <c r="D143" s="883">
        <v>165000</v>
      </c>
      <c r="E143" s="883"/>
      <c r="F143" s="236">
        <v>165000</v>
      </c>
      <c r="G143" s="66">
        <v>0</v>
      </c>
      <c r="H143" s="66">
        <v>0</v>
      </c>
      <c r="I143" s="66">
        <v>0</v>
      </c>
      <c r="J143" s="66">
        <v>0</v>
      </c>
      <c r="K143" s="66">
        <v>0</v>
      </c>
      <c r="L143" s="66">
        <v>0</v>
      </c>
      <c r="M143" s="66">
        <v>0</v>
      </c>
      <c r="N143" s="66">
        <v>0</v>
      </c>
      <c r="O143" s="66">
        <v>0</v>
      </c>
      <c r="P143" s="66">
        <v>165000</v>
      </c>
      <c r="Q143" s="66">
        <v>0</v>
      </c>
      <c r="R143" s="61">
        <v>165000</v>
      </c>
      <c r="S143" s="61">
        <v>0</v>
      </c>
      <c r="T143" s="61">
        <v>0</v>
      </c>
      <c r="U143" s="61">
        <v>0</v>
      </c>
      <c r="V143" s="61">
        <v>0</v>
      </c>
      <c r="W143" s="61">
        <v>0</v>
      </c>
      <c r="X143" s="61">
        <v>0</v>
      </c>
      <c r="Y143" s="61">
        <v>0</v>
      </c>
      <c r="Z143" s="61">
        <v>0</v>
      </c>
      <c r="AA143" s="61">
        <v>0</v>
      </c>
      <c r="AB143" s="61">
        <v>0</v>
      </c>
      <c r="AC143" s="61">
        <v>0</v>
      </c>
      <c r="AD143" s="61">
        <v>0</v>
      </c>
      <c r="AE143" s="370"/>
      <c r="AF143" s="370"/>
      <c r="AG143" s="370"/>
      <c r="AH143" s="370"/>
      <c r="AI143" s="370"/>
      <c r="AJ143" s="370"/>
      <c r="AK143" s="370"/>
      <c r="AL143" s="370"/>
      <c r="AM143" s="370"/>
      <c r="AN143" s="370"/>
      <c r="AO143" s="370"/>
      <c r="AP143" s="370"/>
      <c r="AQ143" s="370"/>
      <c r="AR143" s="370"/>
      <c r="AS143" s="370"/>
      <c r="AT143" s="370"/>
      <c r="AU143" s="370"/>
      <c r="AV143" s="370"/>
      <c r="AW143" s="370"/>
      <c r="AX143" s="370"/>
      <c r="AY143" s="370"/>
      <c r="AZ143" s="370"/>
      <c r="BA143" s="370"/>
      <c r="BB143" s="370"/>
      <c r="BC143" s="370"/>
    </row>
    <row r="144" spans="1:55" s="315" customFormat="1" ht="93" customHeight="1" x14ac:dyDescent="0.3">
      <c r="A144" s="1077"/>
      <c r="B144" s="362" t="s">
        <v>4</v>
      </c>
      <c r="C144" s="273" t="s">
        <v>265</v>
      </c>
      <c r="D144" s="883"/>
      <c r="E144" s="883">
        <v>116780</v>
      </c>
      <c r="F144" s="236">
        <v>116780</v>
      </c>
      <c r="G144" s="66">
        <v>0</v>
      </c>
      <c r="H144" s="66">
        <v>0</v>
      </c>
      <c r="I144" s="66">
        <v>0</v>
      </c>
      <c r="J144" s="66">
        <v>0</v>
      </c>
      <c r="K144" s="66">
        <v>0</v>
      </c>
      <c r="L144" s="66">
        <v>0</v>
      </c>
      <c r="M144" s="66">
        <v>0</v>
      </c>
      <c r="N144" s="66">
        <v>0</v>
      </c>
      <c r="O144" s="66">
        <v>0</v>
      </c>
      <c r="P144" s="66">
        <v>116780</v>
      </c>
      <c r="Q144" s="66">
        <v>0</v>
      </c>
      <c r="R144" s="61">
        <v>116780</v>
      </c>
      <c r="S144" s="61">
        <v>0</v>
      </c>
      <c r="T144" s="61">
        <v>0</v>
      </c>
      <c r="U144" s="61">
        <v>0</v>
      </c>
      <c r="V144" s="61">
        <v>0</v>
      </c>
      <c r="W144" s="61">
        <v>0</v>
      </c>
      <c r="X144" s="61">
        <v>0</v>
      </c>
      <c r="Y144" s="61">
        <v>0</v>
      </c>
      <c r="Z144" s="61">
        <v>0</v>
      </c>
      <c r="AA144" s="61">
        <v>0</v>
      </c>
      <c r="AB144" s="61">
        <v>0</v>
      </c>
      <c r="AC144" s="61">
        <v>0</v>
      </c>
      <c r="AD144" s="61">
        <v>0</v>
      </c>
      <c r="AE144" s="370"/>
      <c r="AF144" s="370"/>
      <c r="AG144" s="370"/>
      <c r="AH144" s="370"/>
      <c r="AI144" s="370"/>
      <c r="AJ144" s="370"/>
      <c r="AK144" s="370"/>
      <c r="AL144" s="370"/>
      <c r="AM144" s="370"/>
      <c r="AN144" s="370"/>
      <c r="AO144" s="370"/>
      <c r="AP144" s="370"/>
      <c r="AQ144" s="370"/>
      <c r="AR144" s="370"/>
      <c r="AS144" s="370"/>
      <c r="AT144" s="370"/>
      <c r="AU144" s="370"/>
      <c r="AV144" s="370"/>
      <c r="AW144" s="370"/>
      <c r="AX144" s="370"/>
      <c r="AY144" s="370"/>
      <c r="AZ144" s="370"/>
      <c r="BA144" s="370"/>
      <c r="BB144" s="370"/>
      <c r="BC144" s="370"/>
    </row>
    <row r="145" spans="1:55" s="89" customFormat="1" ht="107.4" customHeight="1" x14ac:dyDescent="0.3">
      <c r="A145" s="1078" t="s">
        <v>832</v>
      </c>
      <c r="B145" s="1079"/>
      <c r="C145" s="1079"/>
      <c r="D145" s="297">
        <v>6154700</v>
      </c>
      <c r="E145" s="297">
        <v>8619953.8200000003</v>
      </c>
      <c r="F145" s="297">
        <v>14774653.82</v>
      </c>
      <c r="G145" s="297">
        <v>22000</v>
      </c>
      <c r="H145" s="297">
        <v>22000</v>
      </c>
      <c r="I145" s="297">
        <v>22000</v>
      </c>
      <c r="J145" s="297">
        <v>1278000</v>
      </c>
      <c r="K145" s="297">
        <v>194000</v>
      </c>
      <c r="L145" s="297">
        <v>69000</v>
      </c>
      <c r="M145" s="297">
        <v>414490.35</v>
      </c>
      <c r="N145" s="297">
        <v>1454400</v>
      </c>
      <c r="O145" s="297">
        <v>688103.5</v>
      </c>
      <c r="P145" s="297">
        <v>517500</v>
      </c>
      <c r="Q145" s="297">
        <v>286000</v>
      </c>
      <c r="R145" s="297">
        <v>4967493.8499999996</v>
      </c>
      <c r="S145" s="297">
        <v>135000</v>
      </c>
      <c r="T145" s="297">
        <v>1177533.8199999998</v>
      </c>
      <c r="U145" s="297">
        <v>3007800</v>
      </c>
      <c r="V145" s="297">
        <v>2798470</v>
      </c>
      <c r="W145" s="297">
        <v>809500</v>
      </c>
      <c r="X145" s="297">
        <v>424000</v>
      </c>
      <c r="Y145" s="297">
        <v>358000</v>
      </c>
      <c r="Z145" s="297">
        <v>338509.65</v>
      </c>
      <c r="AA145" s="297">
        <v>364346.5</v>
      </c>
      <c r="AB145" s="297">
        <v>234000</v>
      </c>
      <c r="AC145" s="297">
        <v>160000</v>
      </c>
      <c r="AD145" s="297">
        <v>9807159.9700000007</v>
      </c>
      <c r="AE145" s="860"/>
      <c r="AF145" s="860"/>
      <c r="AG145" s="860"/>
      <c r="AH145" s="860"/>
      <c r="AI145" s="860"/>
      <c r="AJ145" s="860"/>
      <c r="AK145" s="860"/>
      <c r="AL145" s="860"/>
      <c r="AM145" s="860"/>
      <c r="AN145" s="860"/>
      <c r="AO145" s="860"/>
      <c r="AP145" s="860"/>
      <c r="AQ145" s="860"/>
      <c r="AR145" s="860"/>
      <c r="AS145" s="860"/>
      <c r="AT145" s="860"/>
      <c r="AU145" s="860"/>
      <c r="AV145" s="860"/>
      <c r="AW145" s="860"/>
      <c r="AX145" s="860"/>
      <c r="AY145" s="860"/>
      <c r="AZ145" s="860"/>
      <c r="BA145" s="860"/>
      <c r="BB145" s="860"/>
      <c r="BC145" s="860"/>
    </row>
    <row r="146" spans="1:55" ht="34.5" customHeight="1" x14ac:dyDescent="0.3">
      <c r="A146" s="330" t="s">
        <v>833</v>
      </c>
      <c r="B146" s="329"/>
      <c r="C146" s="329"/>
      <c r="D146" s="329"/>
      <c r="E146" s="329"/>
      <c r="F146" s="754"/>
      <c r="G146" s="68"/>
      <c r="H146" s="68"/>
      <c r="I146" s="68"/>
      <c r="J146" s="68"/>
      <c r="K146" s="68"/>
      <c r="L146" s="68"/>
      <c r="M146" s="68"/>
      <c r="N146" s="68"/>
      <c r="O146" s="68"/>
      <c r="P146" s="68"/>
      <c r="Q146" s="68"/>
      <c r="R146" s="56"/>
      <c r="S146" s="68"/>
      <c r="T146" s="68"/>
      <c r="U146" s="68"/>
      <c r="V146" s="68"/>
      <c r="W146" s="68"/>
      <c r="X146" s="68"/>
      <c r="Y146" s="68"/>
      <c r="Z146" s="68"/>
      <c r="AA146" s="68"/>
      <c r="AB146" s="68"/>
      <c r="AC146" s="68"/>
      <c r="AD146" s="56"/>
    </row>
    <row r="147" spans="1:55" ht="37.5" customHeight="1" x14ac:dyDescent="0.3">
      <c r="A147" s="282" t="s">
        <v>834</v>
      </c>
      <c r="B147" s="325"/>
      <c r="C147" s="325"/>
      <c r="D147" s="325"/>
      <c r="E147" s="325"/>
      <c r="F147" s="326"/>
      <c r="G147" s="69"/>
      <c r="H147" s="69"/>
      <c r="I147" s="69"/>
      <c r="J147" s="69"/>
      <c r="K147" s="69"/>
      <c r="L147" s="69"/>
      <c r="M147" s="69"/>
      <c r="N147" s="69"/>
      <c r="O147" s="69"/>
      <c r="P147" s="69"/>
      <c r="Q147" s="69"/>
      <c r="R147" s="69"/>
      <c r="S147" s="69"/>
      <c r="T147" s="69"/>
      <c r="U147" s="69"/>
      <c r="V147" s="69"/>
      <c r="W147" s="69"/>
      <c r="X147" s="69"/>
      <c r="Y147" s="69"/>
      <c r="Z147" s="69"/>
      <c r="AA147" s="69"/>
      <c r="AB147" s="69"/>
      <c r="AC147" s="69"/>
      <c r="AD147" s="69"/>
    </row>
    <row r="148" spans="1:55" ht="21" customHeight="1" x14ac:dyDescent="0.3">
      <c r="A148" s="1080" t="s">
        <v>104</v>
      </c>
      <c r="B148" s="266"/>
      <c r="C148" s="301"/>
      <c r="D148" s="267">
        <v>1841690.35</v>
      </c>
      <c r="E148" s="267">
        <v>2355250</v>
      </c>
      <c r="F148" s="267">
        <v>4196940.3499999996</v>
      </c>
      <c r="G148" s="267">
        <v>22000</v>
      </c>
      <c r="H148" s="267">
        <v>22000</v>
      </c>
      <c r="I148" s="267">
        <v>22000</v>
      </c>
      <c r="J148" s="267">
        <v>45000</v>
      </c>
      <c r="K148" s="267">
        <v>25000</v>
      </c>
      <c r="L148" s="267">
        <v>25000</v>
      </c>
      <c r="M148" s="267">
        <v>94490.35</v>
      </c>
      <c r="N148" s="267">
        <v>153000</v>
      </c>
      <c r="O148" s="267">
        <v>334250</v>
      </c>
      <c r="P148" s="267">
        <v>154000</v>
      </c>
      <c r="Q148" s="267">
        <v>95000</v>
      </c>
      <c r="R148" s="267">
        <v>991740.35</v>
      </c>
      <c r="S148" s="267">
        <v>69000</v>
      </c>
      <c r="T148" s="267">
        <v>95000</v>
      </c>
      <c r="U148" s="267">
        <v>2220000</v>
      </c>
      <c r="V148" s="267">
        <v>209000</v>
      </c>
      <c r="W148" s="267">
        <v>125000</v>
      </c>
      <c r="X148" s="267">
        <v>100000</v>
      </c>
      <c r="Y148" s="267">
        <v>99000</v>
      </c>
      <c r="Z148" s="267">
        <v>70000</v>
      </c>
      <c r="AA148" s="267">
        <v>115200</v>
      </c>
      <c r="AB148" s="267">
        <v>59000</v>
      </c>
      <c r="AC148" s="267">
        <v>44000</v>
      </c>
      <c r="AD148" s="267">
        <v>3205200</v>
      </c>
    </row>
    <row r="149" spans="1:55" s="334" customFormat="1" ht="78.599999999999994" customHeight="1" x14ac:dyDescent="0.3">
      <c r="A149" s="1081"/>
      <c r="B149" s="316" t="s">
        <v>2</v>
      </c>
      <c r="C149" s="245" t="s">
        <v>285</v>
      </c>
      <c r="D149" s="881">
        <v>1281690.3500000001</v>
      </c>
      <c r="E149" s="881">
        <v>0</v>
      </c>
      <c r="F149" s="236">
        <v>1281690.3500000001</v>
      </c>
      <c r="G149" s="61">
        <v>22000</v>
      </c>
      <c r="H149" s="61">
        <v>22000</v>
      </c>
      <c r="I149" s="61">
        <v>22000</v>
      </c>
      <c r="J149" s="61">
        <v>25000</v>
      </c>
      <c r="K149" s="61">
        <v>25000</v>
      </c>
      <c r="L149" s="61">
        <v>25000</v>
      </c>
      <c r="M149" s="61">
        <v>49490.35</v>
      </c>
      <c r="N149" s="61">
        <v>78000</v>
      </c>
      <c r="O149" s="61">
        <v>104000</v>
      </c>
      <c r="P149" s="61">
        <v>119000</v>
      </c>
      <c r="Q149" s="61">
        <v>75000</v>
      </c>
      <c r="R149" s="61">
        <v>566490.35</v>
      </c>
      <c r="S149" s="61">
        <v>69000</v>
      </c>
      <c r="T149" s="61">
        <v>75000</v>
      </c>
      <c r="U149" s="61">
        <v>75000</v>
      </c>
      <c r="V149" s="61">
        <v>89000</v>
      </c>
      <c r="W149" s="61">
        <v>90000</v>
      </c>
      <c r="X149" s="61">
        <v>50000</v>
      </c>
      <c r="Y149" s="61">
        <v>64000</v>
      </c>
      <c r="Z149" s="61">
        <v>50000</v>
      </c>
      <c r="AA149" s="61">
        <v>50200</v>
      </c>
      <c r="AB149" s="61">
        <v>59000</v>
      </c>
      <c r="AC149" s="61">
        <v>44000</v>
      </c>
      <c r="AD149" s="61">
        <v>715200</v>
      </c>
      <c r="AE149" s="864"/>
      <c r="AF149" s="864"/>
      <c r="AG149" s="864"/>
      <c r="AH149" s="864"/>
      <c r="AI149" s="864"/>
      <c r="AJ149" s="864"/>
      <c r="AK149" s="864"/>
      <c r="AL149" s="864"/>
      <c r="AM149" s="864"/>
      <c r="AN149" s="864"/>
      <c r="AO149" s="864"/>
      <c r="AP149" s="864"/>
      <c r="AQ149" s="864"/>
      <c r="AR149" s="864"/>
      <c r="AS149" s="864"/>
      <c r="AT149" s="864"/>
      <c r="AU149" s="864"/>
      <c r="AV149" s="864"/>
      <c r="AW149" s="864"/>
      <c r="AX149" s="864"/>
      <c r="AY149" s="864"/>
      <c r="AZ149" s="864"/>
      <c r="BA149" s="864"/>
      <c r="BB149" s="864"/>
      <c r="BC149" s="864"/>
    </row>
    <row r="150" spans="1:55" s="334" customFormat="1" ht="68.400000000000006" customHeight="1" x14ac:dyDescent="0.3">
      <c r="A150" s="1081"/>
      <c r="B150" s="316" t="s">
        <v>3</v>
      </c>
      <c r="C150" s="245" t="s">
        <v>289</v>
      </c>
      <c r="D150" s="881">
        <v>260000</v>
      </c>
      <c r="E150" s="881">
        <v>0</v>
      </c>
      <c r="F150" s="236">
        <v>260000</v>
      </c>
      <c r="G150" s="61">
        <v>0</v>
      </c>
      <c r="H150" s="61">
        <v>0</v>
      </c>
      <c r="I150" s="61">
        <v>0</v>
      </c>
      <c r="J150" s="61">
        <v>0</v>
      </c>
      <c r="K150" s="61">
        <v>0</v>
      </c>
      <c r="L150" s="61">
        <v>0</v>
      </c>
      <c r="M150" s="61">
        <v>0</v>
      </c>
      <c r="N150" s="61">
        <v>30000</v>
      </c>
      <c r="O150" s="61">
        <v>0</v>
      </c>
      <c r="P150" s="61">
        <v>20000</v>
      </c>
      <c r="Q150" s="61">
        <v>20000</v>
      </c>
      <c r="R150" s="61">
        <v>70000</v>
      </c>
      <c r="S150" s="61">
        <v>0</v>
      </c>
      <c r="T150" s="61">
        <v>20000</v>
      </c>
      <c r="U150" s="61">
        <v>50000</v>
      </c>
      <c r="V150" s="61">
        <v>20000</v>
      </c>
      <c r="W150" s="61">
        <v>20000</v>
      </c>
      <c r="X150" s="61">
        <v>20000</v>
      </c>
      <c r="Y150" s="61">
        <v>20000</v>
      </c>
      <c r="Z150" s="61">
        <v>20000</v>
      </c>
      <c r="AA150" s="61">
        <v>20000</v>
      </c>
      <c r="AB150" s="61">
        <v>0</v>
      </c>
      <c r="AC150" s="61">
        <v>0</v>
      </c>
      <c r="AD150" s="61">
        <v>190000</v>
      </c>
      <c r="AE150" s="864"/>
      <c r="AF150" s="864"/>
      <c r="AG150" s="864"/>
      <c r="AH150" s="864"/>
      <c r="AI150" s="864"/>
      <c r="AJ150" s="864"/>
      <c r="AK150" s="864"/>
      <c r="AL150" s="864"/>
      <c r="AM150" s="864"/>
      <c r="AN150" s="864"/>
      <c r="AO150" s="864"/>
      <c r="AP150" s="864"/>
      <c r="AQ150" s="864"/>
      <c r="AR150" s="864"/>
      <c r="AS150" s="864"/>
      <c r="AT150" s="864"/>
      <c r="AU150" s="864"/>
      <c r="AV150" s="864"/>
      <c r="AW150" s="864"/>
      <c r="AX150" s="864"/>
      <c r="AY150" s="864"/>
      <c r="AZ150" s="864"/>
      <c r="BA150" s="864"/>
      <c r="BB150" s="864"/>
      <c r="BC150" s="864"/>
    </row>
    <row r="151" spans="1:55" s="334" customFormat="1" ht="72" customHeight="1" x14ac:dyDescent="0.3">
      <c r="A151" s="1081"/>
      <c r="B151" s="316" t="s">
        <v>4</v>
      </c>
      <c r="C151" s="245" t="s">
        <v>555</v>
      </c>
      <c r="D151" s="881"/>
      <c r="E151" s="881">
        <v>200000</v>
      </c>
      <c r="F151" s="236">
        <v>200000</v>
      </c>
      <c r="G151" s="61">
        <v>0</v>
      </c>
      <c r="H151" s="61">
        <v>0</v>
      </c>
      <c r="I151" s="61">
        <v>0</v>
      </c>
      <c r="J151" s="61">
        <v>0</v>
      </c>
      <c r="K151" s="61">
        <v>0</v>
      </c>
      <c r="L151" s="61">
        <v>0</v>
      </c>
      <c r="M151" s="61">
        <v>0</v>
      </c>
      <c r="N151" s="61">
        <v>0</v>
      </c>
      <c r="O151" s="61">
        <v>100000</v>
      </c>
      <c r="P151" s="61">
        <v>0</v>
      </c>
      <c r="Q151" s="61">
        <v>0</v>
      </c>
      <c r="R151" s="61">
        <v>100000</v>
      </c>
      <c r="S151" s="61">
        <v>0</v>
      </c>
      <c r="T151" s="61">
        <v>0</v>
      </c>
      <c r="U151" s="61">
        <v>0</v>
      </c>
      <c r="V151" s="61">
        <v>100000</v>
      </c>
      <c r="W151" s="61">
        <v>0</v>
      </c>
      <c r="X151" s="61">
        <v>0</v>
      </c>
      <c r="Y151" s="61">
        <v>0</v>
      </c>
      <c r="Z151" s="61">
        <v>0</v>
      </c>
      <c r="AA151" s="61">
        <v>0</v>
      </c>
      <c r="AB151" s="61">
        <v>0</v>
      </c>
      <c r="AC151" s="61">
        <v>0</v>
      </c>
      <c r="AD151" s="61">
        <v>100000</v>
      </c>
      <c r="AE151" s="864"/>
      <c r="AF151" s="864"/>
      <c r="AG151" s="864"/>
      <c r="AH151" s="864"/>
      <c r="AI151" s="864"/>
      <c r="AJ151" s="864"/>
      <c r="AK151" s="864"/>
      <c r="AL151" s="864"/>
      <c r="AM151" s="864"/>
      <c r="AN151" s="864"/>
      <c r="AO151" s="864"/>
      <c r="AP151" s="864"/>
      <c r="AQ151" s="864"/>
      <c r="AR151" s="864"/>
      <c r="AS151" s="864"/>
      <c r="AT151" s="864"/>
      <c r="AU151" s="864"/>
      <c r="AV151" s="864"/>
      <c r="AW151" s="864"/>
      <c r="AX151" s="864"/>
      <c r="AY151" s="864"/>
      <c r="AZ151" s="864"/>
      <c r="BA151" s="864"/>
      <c r="BB151" s="864"/>
      <c r="BC151" s="864"/>
    </row>
    <row r="152" spans="1:55" s="334" customFormat="1" ht="105" customHeight="1" x14ac:dyDescent="0.3">
      <c r="A152" s="1081"/>
      <c r="B152" s="316" t="s">
        <v>8</v>
      </c>
      <c r="C152" s="245" t="s">
        <v>294</v>
      </c>
      <c r="D152" s="881"/>
      <c r="E152" s="881">
        <v>2155250</v>
      </c>
      <c r="F152" s="236">
        <v>2155250</v>
      </c>
      <c r="G152" s="61">
        <v>0</v>
      </c>
      <c r="H152" s="61">
        <v>0</v>
      </c>
      <c r="I152" s="61">
        <v>0</v>
      </c>
      <c r="J152" s="61">
        <v>20000</v>
      </c>
      <c r="K152" s="61">
        <v>0</v>
      </c>
      <c r="L152" s="61">
        <v>0</v>
      </c>
      <c r="M152" s="61">
        <v>0</v>
      </c>
      <c r="N152" s="61">
        <v>0</v>
      </c>
      <c r="O152" s="61">
        <v>85250</v>
      </c>
      <c r="P152" s="61">
        <v>0</v>
      </c>
      <c r="Q152" s="61">
        <v>0</v>
      </c>
      <c r="R152" s="61">
        <v>105250</v>
      </c>
      <c r="S152" s="61">
        <v>0</v>
      </c>
      <c r="T152" s="61">
        <v>0</v>
      </c>
      <c r="U152" s="61">
        <v>2050000</v>
      </c>
      <c r="V152" s="61">
        <v>0</v>
      </c>
      <c r="W152" s="61">
        <v>0</v>
      </c>
      <c r="X152" s="61">
        <v>0</v>
      </c>
      <c r="Y152" s="61">
        <v>0</v>
      </c>
      <c r="Z152" s="61">
        <v>0</v>
      </c>
      <c r="AA152" s="61">
        <v>0</v>
      </c>
      <c r="AB152" s="61">
        <v>0</v>
      </c>
      <c r="AC152" s="61">
        <v>0</v>
      </c>
      <c r="AD152" s="61">
        <v>2050000</v>
      </c>
      <c r="AE152" s="864"/>
      <c r="AF152" s="864"/>
      <c r="AG152" s="864"/>
      <c r="AH152" s="864"/>
      <c r="AI152" s="864"/>
      <c r="AJ152" s="864"/>
      <c r="AK152" s="864"/>
      <c r="AL152" s="864"/>
      <c r="AM152" s="864"/>
      <c r="AN152" s="864"/>
      <c r="AO152" s="864"/>
      <c r="AP152" s="864"/>
      <c r="AQ152" s="864"/>
      <c r="AR152" s="864"/>
      <c r="AS152" s="864"/>
      <c r="AT152" s="864"/>
      <c r="AU152" s="864"/>
      <c r="AV152" s="864"/>
      <c r="AW152" s="864"/>
      <c r="AX152" s="864"/>
      <c r="AY152" s="864"/>
      <c r="AZ152" s="864"/>
      <c r="BA152" s="864"/>
      <c r="BB152" s="864"/>
      <c r="BC152" s="864"/>
    </row>
    <row r="153" spans="1:55" s="334" customFormat="1" ht="43.2" x14ac:dyDescent="0.3">
      <c r="A153" s="1082"/>
      <c r="B153" s="316" t="s">
        <v>9</v>
      </c>
      <c r="C153" s="885" t="s">
        <v>319</v>
      </c>
      <c r="D153" s="881">
        <v>300000</v>
      </c>
      <c r="E153" s="881">
        <v>0</v>
      </c>
      <c r="F153" s="236">
        <v>300000</v>
      </c>
      <c r="G153" s="61">
        <v>0</v>
      </c>
      <c r="H153" s="61">
        <v>0</v>
      </c>
      <c r="I153" s="61">
        <v>0</v>
      </c>
      <c r="J153" s="61">
        <v>0</v>
      </c>
      <c r="K153" s="61">
        <v>0</v>
      </c>
      <c r="L153" s="61">
        <v>0</v>
      </c>
      <c r="M153" s="61">
        <v>45000</v>
      </c>
      <c r="N153" s="61">
        <v>45000</v>
      </c>
      <c r="O153" s="61">
        <v>45000</v>
      </c>
      <c r="P153" s="61">
        <v>15000</v>
      </c>
      <c r="Q153" s="61">
        <v>0</v>
      </c>
      <c r="R153" s="61">
        <v>150000</v>
      </c>
      <c r="S153" s="61">
        <v>0</v>
      </c>
      <c r="T153" s="61">
        <v>0</v>
      </c>
      <c r="U153" s="61">
        <v>45000</v>
      </c>
      <c r="V153" s="61">
        <v>0</v>
      </c>
      <c r="W153" s="61">
        <v>15000</v>
      </c>
      <c r="X153" s="61">
        <v>30000</v>
      </c>
      <c r="Y153" s="61">
        <v>15000</v>
      </c>
      <c r="Z153" s="61">
        <v>0</v>
      </c>
      <c r="AA153" s="61">
        <v>45000</v>
      </c>
      <c r="AB153" s="61">
        <v>0</v>
      </c>
      <c r="AC153" s="61">
        <v>0</v>
      </c>
      <c r="AD153" s="61">
        <v>150000</v>
      </c>
      <c r="AE153" s="864"/>
      <c r="AF153" s="864"/>
      <c r="AG153" s="864"/>
      <c r="AH153" s="864"/>
      <c r="AI153" s="864"/>
      <c r="AJ153" s="864"/>
      <c r="AK153" s="864"/>
      <c r="AL153" s="864"/>
      <c r="AM153" s="864"/>
      <c r="AN153" s="864"/>
      <c r="AO153" s="864"/>
      <c r="AP153" s="864"/>
      <c r="AQ153" s="864"/>
      <c r="AR153" s="864"/>
      <c r="AS153" s="864"/>
      <c r="AT153" s="864"/>
      <c r="AU153" s="864"/>
      <c r="AV153" s="864"/>
      <c r="AW153" s="864"/>
      <c r="AX153" s="864"/>
      <c r="AY153" s="864"/>
      <c r="AZ153" s="864"/>
      <c r="BA153" s="864"/>
      <c r="BB153" s="864"/>
      <c r="BC153" s="864"/>
    </row>
    <row r="154" spans="1:55" s="67" customFormat="1" ht="30.75" customHeight="1" x14ac:dyDescent="0.3">
      <c r="A154" s="282" t="s">
        <v>835</v>
      </c>
      <c r="B154" s="284"/>
      <c r="C154" s="284"/>
      <c r="D154" s="284"/>
      <c r="E154" s="284"/>
      <c r="F154" s="326"/>
      <c r="G154" s="69"/>
      <c r="H154" s="69"/>
      <c r="I154" s="69"/>
      <c r="J154" s="69"/>
      <c r="K154" s="69"/>
      <c r="L154" s="69"/>
      <c r="M154" s="69"/>
      <c r="N154" s="69"/>
      <c r="O154" s="69"/>
      <c r="P154" s="69"/>
      <c r="Q154" s="69"/>
      <c r="R154" s="69"/>
      <c r="S154" s="69"/>
      <c r="T154" s="69"/>
      <c r="U154" s="69"/>
      <c r="V154" s="69"/>
      <c r="W154" s="69"/>
      <c r="X154" s="69"/>
      <c r="Y154" s="69"/>
      <c r="Z154" s="69"/>
      <c r="AA154" s="69"/>
      <c r="AB154" s="69"/>
      <c r="AC154" s="69"/>
      <c r="AD154" s="69"/>
      <c r="AE154" s="663"/>
      <c r="AF154" s="663"/>
      <c r="AG154" s="663"/>
      <c r="AH154" s="663"/>
      <c r="AI154" s="663"/>
      <c r="AJ154" s="663"/>
      <c r="AK154" s="663"/>
      <c r="AL154" s="663"/>
      <c r="AM154" s="663"/>
      <c r="AN154" s="663"/>
      <c r="AO154" s="663"/>
      <c r="AP154" s="663"/>
      <c r="AQ154" s="663"/>
      <c r="AR154" s="663"/>
      <c r="AS154" s="663"/>
      <c r="AT154" s="663"/>
      <c r="AU154" s="663"/>
      <c r="AV154" s="663"/>
      <c r="AW154" s="663"/>
      <c r="AX154" s="663"/>
      <c r="AY154" s="663"/>
      <c r="AZ154" s="663"/>
      <c r="BA154" s="663"/>
      <c r="BB154" s="663"/>
      <c r="BC154" s="663"/>
    </row>
    <row r="155" spans="1:55" ht="39" customHeight="1" x14ac:dyDescent="0.3">
      <c r="A155" s="1075" t="s">
        <v>760</v>
      </c>
      <c r="B155" s="266"/>
      <c r="C155" s="301"/>
      <c r="D155" s="267">
        <v>2152500</v>
      </c>
      <c r="E155" s="267">
        <v>1763283.8199999998</v>
      </c>
      <c r="F155" s="267">
        <v>3915783.82</v>
      </c>
      <c r="G155" s="267">
        <v>0</v>
      </c>
      <c r="H155" s="267">
        <v>0</v>
      </c>
      <c r="I155" s="267">
        <v>0</v>
      </c>
      <c r="J155" s="267">
        <v>46000</v>
      </c>
      <c r="K155" s="267">
        <v>147000</v>
      </c>
      <c r="L155" s="267">
        <v>22000</v>
      </c>
      <c r="M155" s="267">
        <v>113000</v>
      </c>
      <c r="N155" s="267">
        <v>321000</v>
      </c>
      <c r="O155" s="267">
        <v>140500</v>
      </c>
      <c r="P155" s="267">
        <v>183500</v>
      </c>
      <c r="Q155" s="267">
        <v>119000</v>
      </c>
      <c r="R155" s="267">
        <v>1092000</v>
      </c>
      <c r="S155" s="267">
        <v>44000</v>
      </c>
      <c r="T155" s="267">
        <v>1018533.82</v>
      </c>
      <c r="U155" s="267">
        <v>164000</v>
      </c>
      <c r="V155" s="267">
        <v>735250</v>
      </c>
      <c r="W155" s="267">
        <v>140500</v>
      </c>
      <c r="X155" s="267">
        <v>139000</v>
      </c>
      <c r="Y155" s="267">
        <v>139000</v>
      </c>
      <c r="Z155" s="267">
        <v>121000</v>
      </c>
      <c r="AA155" s="267">
        <v>154500</v>
      </c>
      <c r="AB155" s="267">
        <v>99000</v>
      </c>
      <c r="AC155" s="267">
        <v>69000</v>
      </c>
      <c r="AD155" s="267">
        <v>2823783.82</v>
      </c>
    </row>
    <row r="156" spans="1:55" s="333" customFormat="1" ht="90" customHeight="1" x14ac:dyDescent="0.3">
      <c r="A156" s="1076"/>
      <c r="B156" s="316" t="s">
        <v>2</v>
      </c>
      <c r="C156" s="232" t="s">
        <v>314</v>
      </c>
      <c r="D156" s="881">
        <v>934000</v>
      </c>
      <c r="E156" s="881">
        <v>0</v>
      </c>
      <c r="F156" s="236">
        <v>934000</v>
      </c>
      <c r="G156" s="61">
        <v>0</v>
      </c>
      <c r="H156" s="61">
        <v>0</v>
      </c>
      <c r="I156" s="61">
        <v>0</v>
      </c>
      <c r="J156" s="61">
        <v>11000</v>
      </c>
      <c r="K156" s="61">
        <v>22000</v>
      </c>
      <c r="L156" s="61">
        <v>22000</v>
      </c>
      <c r="M156" s="61">
        <v>26000</v>
      </c>
      <c r="N156" s="61">
        <v>26000</v>
      </c>
      <c r="O156" s="61">
        <v>48000</v>
      </c>
      <c r="P156" s="61">
        <v>89000</v>
      </c>
      <c r="Q156" s="61">
        <v>44000</v>
      </c>
      <c r="R156" s="61">
        <v>288000</v>
      </c>
      <c r="S156" s="61">
        <v>44000</v>
      </c>
      <c r="T156" s="61">
        <v>46500</v>
      </c>
      <c r="U156" s="61">
        <v>44000</v>
      </c>
      <c r="V156" s="61">
        <v>46500</v>
      </c>
      <c r="W156" s="61">
        <v>44000</v>
      </c>
      <c r="X156" s="61">
        <v>71500</v>
      </c>
      <c r="Y156" s="61">
        <v>69000</v>
      </c>
      <c r="Z156" s="61">
        <v>71000</v>
      </c>
      <c r="AA156" s="61">
        <v>71500</v>
      </c>
      <c r="AB156" s="61">
        <v>69000</v>
      </c>
      <c r="AC156" s="61">
        <v>69000</v>
      </c>
      <c r="AD156" s="61">
        <v>646000</v>
      </c>
      <c r="AE156" s="862"/>
      <c r="AF156" s="862"/>
      <c r="AG156" s="862"/>
      <c r="AH156" s="862"/>
      <c r="AI156" s="862"/>
      <c r="AJ156" s="862"/>
      <c r="AK156" s="862"/>
      <c r="AL156" s="862"/>
      <c r="AM156" s="862"/>
      <c r="AN156" s="862"/>
      <c r="AO156" s="862"/>
      <c r="AP156" s="862"/>
      <c r="AQ156" s="862"/>
      <c r="AR156" s="862"/>
      <c r="AS156" s="862"/>
      <c r="AT156" s="862"/>
      <c r="AU156" s="862"/>
      <c r="AV156" s="862"/>
      <c r="AW156" s="862"/>
      <c r="AX156" s="862"/>
      <c r="AY156" s="862"/>
      <c r="AZ156" s="862"/>
      <c r="BA156" s="862"/>
      <c r="BB156" s="862"/>
      <c r="BC156" s="862"/>
    </row>
    <row r="157" spans="1:55" s="333" customFormat="1" ht="124.2" customHeight="1" x14ac:dyDescent="0.3">
      <c r="A157" s="1076"/>
      <c r="B157" s="316" t="s">
        <v>3</v>
      </c>
      <c r="C157" s="232" t="s">
        <v>296</v>
      </c>
      <c r="D157" s="881">
        <v>1117500</v>
      </c>
      <c r="E157" s="881">
        <v>0</v>
      </c>
      <c r="F157" s="236">
        <v>1117500</v>
      </c>
      <c r="G157" s="61">
        <v>0</v>
      </c>
      <c r="H157" s="61">
        <v>0</v>
      </c>
      <c r="I157" s="61">
        <v>0</v>
      </c>
      <c r="J157" s="61">
        <v>35000</v>
      </c>
      <c r="K157" s="61">
        <v>125000</v>
      </c>
      <c r="L157" s="61">
        <v>0</v>
      </c>
      <c r="M157" s="61">
        <v>11000</v>
      </c>
      <c r="N157" s="61">
        <v>45000</v>
      </c>
      <c r="O157" s="61">
        <v>92500</v>
      </c>
      <c r="P157" s="61">
        <v>94500</v>
      </c>
      <c r="Q157" s="61">
        <v>75000</v>
      </c>
      <c r="R157" s="61">
        <v>478000</v>
      </c>
      <c r="S157" s="61">
        <v>0</v>
      </c>
      <c r="T157" s="61">
        <v>80000</v>
      </c>
      <c r="U157" s="61">
        <v>95000</v>
      </c>
      <c r="V157" s="61">
        <v>67500</v>
      </c>
      <c r="W157" s="61">
        <v>96500</v>
      </c>
      <c r="X157" s="61">
        <v>67500</v>
      </c>
      <c r="Y157" s="61">
        <v>70000</v>
      </c>
      <c r="Z157" s="61">
        <v>50000</v>
      </c>
      <c r="AA157" s="61">
        <v>83000</v>
      </c>
      <c r="AB157" s="61">
        <v>30000</v>
      </c>
      <c r="AC157" s="61">
        <v>0</v>
      </c>
      <c r="AD157" s="61">
        <v>639500</v>
      </c>
      <c r="AE157" s="862"/>
      <c r="AF157" s="862"/>
      <c r="AG157" s="862"/>
      <c r="AH157" s="862"/>
      <c r="AI157" s="862"/>
      <c r="AJ157" s="862"/>
      <c r="AK157" s="862"/>
      <c r="AL157" s="862"/>
      <c r="AM157" s="862"/>
      <c r="AN157" s="862"/>
      <c r="AO157" s="862"/>
      <c r="AP157" s="862"/>
      <c r="AQ157" s="862"/>
      <c r="AR157" s="862"/>
      <c r="AS157" s="862"/>
      <c r="AT157" s="862"/>
      <c r="AU157" s="862"/>
      <c r="AV157" s="862"/>
      <c r="AW157" s="862"/>
      <c r="AX157" s="862"/>
      <c r="AY157" s="862"/>
      <c r="AZ157" s="862"/>
      <c r="BA157" s="862"/>
      <c r="BB157" s="862"/>
      <c r="BC157" s="862"/>
    </row>
    <row r="158" spans="1:55" s="333" customFormat="1" ht="72.599999999999994" customHeight="1" x14ac:dyDescent="0.3">
      <c r="A158" s="1076"/>
      <c r="B158" s="316" t="s">
        <v>4</v>
      </c>
      <c r="C158" s="232" t="s">
        <v>588</v>
      </c>
      <c r="D158" s="881"/>
      <c r="E158" s="881">
        <v>1763283.8199999998</v>
      </c>
      <c r="F158" s="236">
        <v>1763283.8199999998</v>
      </c>
      <c r="G158" s="61">
        <v>0</v>
      </c>
      <c r="H158" s="61">
        <v>0</v>
      </c>
      <c r="I158" s="61">
        <v>0</v>
      </c>
      <c r="J158" s="61">
        <v>0</v>
      </c>
      <c r="K158" s="61">
        <v>0</v>
      </c>
      <c r="L158" s="61">
        <v>0</v>
      </c>
      <c r="M158" s="61">
        <v>0</v>
      </c>
      <c r="N158" s="61">
        <v>250000</v>
      </c>
      <c r="O158" s="61">
        <v>0</v>
      </c>
      <c r="P158" s="61">
        <v>0</v>
      </c>
      <c r="Q158" s="61">
        <v>0</v>
      </c>
      <c r="R158" s="61">
        <v>250000</v>
      </c>
      <c r="S158" s="61">
        <v>0</v>
      </c>
      <c r="T158" s="61">
        <v>892033.82</v>
      </c>
      <c r="U158" s="61">
        <v>0</v>
      </c>
      <c r="V158" s="61">
        <v>621250</v>
      </c>
      <c r="W158" s="61">
        <v>0</v>
      </c>
      <c r="X158" s="61">
        <v>0</v>
      </c>
      <c r="Y158" s="61">
        <v>0</v>
      </c>
      <c r="Z158" s="61">
        <v>0</v>
      </c>
      <c r="AA158" s="61">
        <v>0</v>
      </c>
      <c r="AB158" s="61">
        <v>0</v>
      </c>
      <c r="AC158" s="61">
        <v>0</v>
      </c>
      <c r="AD158" s="61">
        <v>1513283.8199999998</v>
      </c>
      <c r="AE158" s="862"/>
      <c r="AF158" s="862"/>
      <c r="AG158" s="862"/>
      <c r="AH158" s="862"/>
      <c r="AI158" s="862"/>
      <c r="AJ158" s="862"/>
      <c r="AK158" s="862"/>
      <c r="AL158" s="862"/>
      <c r="AM158" s="862"/>
      <c r="AN158" s="862"/>
      <c r="AO158" s="862"/>
      <c r="AP158" s="862"/>
      <c r="AQ158" s="862"/>
      <c r="AR158" s="862"/>
      <c r="AS158" s="862"/>
      <c r="AT158" s="862"/>
      <c r="AU158" s="862"/>
      <c r="AV158" s="862"/>
      <c r="AW158" s="862"/>
      <c r="AX158" s="862"/>
      <c r="AY158" s="862"/>
      <c r="AZ158" s="862"/>
      <c r="BA158" s="862"/>
      <c r="BB158" s="862"/>
      <c r="BC158" s="862"/>
    </row>
    <row r="159" spans="1:55" s="333" customFormat="1" ht="43.2" x14ac:dyDescent="0.3">
      <c r="A159" s="1077"/>
      <c r="B159" s="311" t="s">
        <v>8</v>
      </c>
      <c r="C159" s="273" t="s">
        <v>306</v>
      </c>
      <c r="D159" s="881">
        <v>101000</v>
      </c>
      <c r="E159" s="881">
        <v>0</v>
      </c>
      <c r="F159" s="236">
        <v>101000</v>
      </c>
      <c r="G159" s="61">
        <v>0</v>
      </c>
      <c r="H159" s="61">
        <v>0</v>
      </c>
      <c r="I159" s="61">
        <v>0</v>
      </c>
      <c r="J159" s="61">
        <v>0</v>
      </c>
      <c r="K159" s="61">
        <v>0</v>
      </c>
      <c r="L159" s="61">
        <v>0</v>
      </c>
      <c r="M159" s="61">
        <v>76000</v>
      </c>
      <c r="N159" s="61">
        <v>0</v>
      </c>
      <c r="O159" s="61">
        <v>0</v>
      </c>
      <c r="P159" s="61">
        <v>0</v>
      </c>
      <c r="Q159" s="61">
        <v>0</v>
      </c>
      <c r="R159" s="61">
        <v>76000</v>
      </c>
      <c r="S159" s="61">
        <v>0</v>
      </c>
      <c r="T159" s="61">
        <v>0</v>
      </c>
      <c r="U159" s="61">
        <v>25000</v>
      </c>
      <c r="V159" s="61">
        <v>0</v>
      </c>
      <c r="W159" s="61">
        <v>0</v>
      </c>
      <c r="X159" s="61">
        <v>0</v>
      </c>
      <c r="Y159" s="61">
        <v>0</v>
      </c>
      <c r="Z159" s="61">
        <v>0</v>
      </c>
      <c r="AA159" s="61">
        <v>0</v>
      </c>
      <c r="AB159" s="61">
        <v>0</v>
      </c>
      <c r="AC159" s="61">
        <v>0</v>
      </c>
      <c r="AD159" s="61">
        <v>25000</v>
      </c>
      <c r="AE159" s="862"/>
      <c r="AF159" s="862"/>
      <c r="AG159" s="862"/>
      <c r="AH159" s="862"/>
      <c r="AI159" s="862"/>
      <c r="AJ159" s="862"/>
      <c r="AK159" s="862"/>
      <c r="AL159" s="862"/>
      <c r="AM159" s="862"/>
      <c r="AN159" s="862"/>
      <c r="AO159" s="862"/>
      <c r="AP159" s="862"/>
      <c r="AQ159" s="862"/>
      <c r="AR159" s="862"/>
      <c r="AS159" s="862"/>
      <c r="AT159" s="862"/>
      <c r="AU159" s="862"/>
      <c r="AV159" s="862"/>
      <c r="AW159" s="862"/>
      <c r="AX159" s="862"/>
      <c r="AY159" s="862"/>
      <c r="AZ159" s="862"/>
      <c r="BA159" s="862"/>
      <c r="BB159" s="862"/>
      <c r="BC159" s="862"/>
    </row>
    <row r="160" spans="1:55" ht="29.25" customHeight="1" x14ac:dyDescent="0.3">
      <c r="A160" s="332" t="s">
        <v>836</v>
      </c>
      <c r="B160" s="324"/>
      <c r="C160" s="324"/>
      <c r="D160" s="324"/>
      <c r="E160" s="324"/>
      <c r="F160" s="755"/>
      <c r="G160" s="212"/>
      <c r="H160" s="212"/>
      <c r="I160" s="212"/>
      <c r="J160" s="212"/>
      <c r="K160" s="212"/>
      <c r="L160" s="212"/>
      <c r="M160" s="212"/>
      <c r="N160" s="212"/>
      <c r="O160" s="212"/>
      <c r="P160" s="212"/>
      <c r="Q160" s="212"/>
      <c r="R160" s="213"/>
      <c r="S160" s="212"/>
      <c r="T160" s="212"/>
      <c r="U160" s="212"/>
      <c r="V160" s="212"/>
      <c r="W160" s="212"/>
      <c r="X160" s="212"/>
      <c r="Y160" s="212"/>
      <c r="Z160" s="212"/>
      <c r="AA160" s="212"/>
      <c r="AB160" s="212"/>
      <c r="AC160" s="212"/>
      <c r="AD160" s="213"/>
    </row>
    <row r="161" spans="1:55" ht="33" customHeight="1" x14ac:dyDescent="0.3">
      <c r="A161" s="282" t="s">
        <v>837</v>
      </c>
      <c r="B161" s="325"/>
      <c r="C161" s="325"/>
      <c r="D161" s="325"/>
      <c r="E161" s="325"/>
      <c r="F161" s="326"/>
      <c r="G161" s="69"/>
      <c r="H161" s="69"/>
      <c r="I161" s="69"/>
      <c r="J161" s="69"/>
      <c r="K161" s="69"/>
      <c r="L161" s="69"/>
      <c r="M161" s="69"/>
      <c r="N161" s="69"/>
      <c r="O161" s="69"/>
      <c r="P161" s="69"/>
      <c r="Q161" s="69"/>
      <c r="R161" s="69"/>
      <c r="S161" s="69"/>
      <c r="T161" s="69"/>
      <c r="U161" s="69"/>
      <c r="V161" s="69"/>
      <c r="W161" s="69"/>
      <c r="X161" s="69"/>
      <c r="Y161" s="69"/>
      <c r="Z161" s="69"/>
      <c r="AA161" s="69"/>
      <c r="AB161" s="69"/>
      <c r="AC161" s="69"/>
      <c r="AD161" s="69"/>
    </row>
    <row r="162" spans="1:55" ht="42.75" customHeight="1" x14ac:dyDescent="0.3">
      <c r="A162" s="1083" t="s">
        <v>724</v>
      </c>
      <c r="B162" s="266"/>
      <c r="C162" s="301"/>
      <c r="D162" s="267">
        <v>0</v>
      </c>
      <c r="E162" s="267">
        <v>550000</v>
      </c>
      <c r="F162" s="267">
        <v>550000</v>
      </c>
      <c r="G162" s="267">
        <v>0</v>
      </c>
      <c r="H162" s="267">
        <v>0</v>
      </c>
      <c r="I162" s="267">
        <v>0</v>
      </c>
      <c r="J162" s="267">
        <v>550000</v>
      </c>
      <c r="K162" s="267">
        <v>0</v>
      </c>
      <c r="L162" s="267">
        <v>0</v>
      </c>
      <c r="M162" s="267">
        <v>0</v>
      </c>
      <c r="N162" s="267">
        <v>0</v>
      </c>
      <c r="O162" s="267">
        <v>0</v>
      </c>
      <c r="P162" s="267">
        <v>0</v>
      </c>
      <c r="Q162" s="267">
        <v>0</v>
      </c>
      <c r="R162" s="267">
        <v>550000</v>
      </c>
      <c r="S162" s="267">
        <v>0</v>
      </c>
      <c r="T162" s="267">
        <v>0</v>
      </c>
      <c r="U162" s="267">
        <v>0</v>
      </c>
      <c r="V162" s="267">
        <v>0</v>
      </c>
      <c r="W162" s="267">
        <v>0</v>
      </c>
      <c r="X162" s="267">
        <v>0</v>
      </c>
      <c r="Y162" s="267">
        <v>0</v>
      </c>
      <c r="Z162" s="267">
        <v>0</v>
      </c>
      <c r="AA162" s="267">
        <v>0</v>
      </c>
      <c r="AB162" s="267">
        <v>0</v>
      </c>
      <c r="AC162" s="267">
        <v>0</v>
      </c>
      <c r="AD162" s="267">
        <v>0</v>
      </c>
    </row>
    <row r="163" spans="1:55" s="333" customFormat="1" ht="133.94999999999999" customHeight="1" x14ac:dyDescent="0.3">
      <c r="A163" s="1084"/>
      <c r="B163" s="316" t="s">
        <v>2</v>
      </c>
      <c r="C163" s="884" t="s">
        <v>712</v>
      </c>
      <c r="D163" s="881">
        <v>0</v>
      </c>
      <c r="E163" s="881">
        <v>550000</v>
      </c>
      <c r="F163" s="236">
        <v>550000</v>
      </c>
      <c r="G163" s="61">
        <v>0</v>
      </c>
      <c r="H163" s="61">
        <v>0</v>
      </c>
      <c r="I163" s="61">
        <v>0</v>
      </c>
      <c r="J163" s="61">
        <v>550000</v>
      </c>
      <c r="K163" s="61">
        <v>0</v>
      </c>
      <c r="L163" s="61">
        <v>0</v>
      </c>
      <c r="M163" s="61">
        <v>0</v>
      </c>
      <c r="N163" s="61">
        <v>0</v>
      </c>
      <c r="O163" s="61">
        <v>0</v>
      </c>
      <c r="P163" s="61">
        <v>0</v>
      </c>
      <c r="Q163" s="61">
        <v>0</v>
      </c>
      <c r="R163" s="61">
        <v>550000</v>
      </c>
      <c r="S163" s="61">
        <v>0</v>
      </c>
      <c r="T163" s="61">
        <v>0</v>
      </c>
      <c r="U163" s="61">
        <v>0</v>
      </c>
      <c r="V163" s="61">
        <v>0</v>
      </c>
      <c r="W163" s="61">
        <v>0</v>
      </c>
      <c r="X163" s="61">
        <v>0</v>
      </c>
      <c r="Y163" s="61">
        <v>0</v>
      </c>
      <c r="Z163" s="61">
        <v>0</v>
      </c>
      <c r="AA163" s="61">
        <v>0</v>
      </c>
      <c r="AB163" s="61">
        <v>0</v>
      </c>
      <c r="AC163" s="61">
        <v>0</v>
      </c>
      <c r="AD163" s="61">
        <v>0</v>
      </c>
      <c r="AE163" s="862"/>
      <c r="AF163" s="862"/>
      <c r="AG163" s="862"/>
      <c r="AH163" s="862"/>
      <c r="AI163" s="862"/>
      <c r="AJ163" s="862"/>
      <c r="AK163" s="862"/>
      <c r="AL163" s="862"/>
      <c r="AM163" s="862"/>
      <c r="AN163" s="862"/>
      <c r="AO163" s="862"/>
      <c r="AP163" s="862"/>
      <c r="AQ163" s="862"/>
      <c r="AR163" s="862"/>
      <c r="AS163" s="862"/>
      <c r="AT163" s="862"/>
      <c r="AU163" s="862"/>
      <c r="AV163" s="862"/>
      <c r="AW163" s="862"/>
      <c r="AX163" s="862"/>
      <c r="AY163" s="862"/>
      <c r="AZ163" s="862"/>
      <c r="BA163" s="862"/>
      <c r="BB163" s="862"/>
      <c r="BC163" s="862"/>
    </row>
    <row r="164" spans="1:55" ht="42.75" customHeight="1" x14ac:dyDescent="0.3">
      <c r="A164" s="1075" t="s">
        <v>108</v>
      </c>
      <c r="B164" s="266"/>
      <c r="C164" s="301"/>
      <c r="D164" s="267">
        <v>135000</v>
      </c>
      <c r="E164" s="267">
        <v>1483200</v>
      </c>
      <c r="F164" s="267">
        <v>1618200</v>
      </c>
      <c r="G164" s="267">
        <v>0</v>
      </c>
      <c r="H164" s="267">
        <v>0</v>
      </c>
      <c r="I164" s="267">
        <v>0</v>
      </c>
      <c r="J164" s="267">
        <v>500000</v>
      </c>
      <c r="K164" s="267">
        <v>0</v>
      </c>
      <c r="L164" s="267">
        <v>0</v>
      </c>
      <c r="M164" s="267">
        <v>35000</v>
      </c>
      <c r="N164" s="267">
        <v>529400</v>
      </c>
      <c r="O164" s="267">
        <v>35000</v>
      </c>
      <c r="P164" s="267">
        <v>30000</v>
      </c>
      <c r="Q164" s="267">
        <v>0</v>
      </c>
      <c r="R164" s="267">
        <v>1129400</v>
      </c>
      <c r="S164" s="267">
        <v>0</v>
      </c>
      <c r="T164" s="267">
        <v>0</v>
      </c>
      <c r="U164" s="267">
        <v>488800</v>
      </c>
      <c r="V164" s="267">
        <v>0</v>
      </c>
      <c r="W164" s="267">
        <v>0</v>
      </c>
      <c r="X164" s="267">
        <v>0</v>
      </c>
      <c r="Y164" s="267">
        <v>0</v>
      </c>
      <c r="Z164" s="267">
        <v>0</v>
      </c>
      <c r="AA164" s="267">
        <v>0</v>
      </c>
      <c r="AB164" s="267">
        <v>0</v>
      </c>
      <c r="AC164" s="267">
        <v>0</v>
      </c>
      <c r="AD164" s="267">
        <v>488800</v>
      </c>
    </row>
    <row r="165" spans="1:55" s="333" customFormat="1" ht="132" customHeight="1" x14ac:dyDescent="0.3">
      <c r="A165" s="1076"/>
      <c r="B165" s="316" t="s">
        <v>2</v>
      </c>
      <c r="C165" s="274" t="s">
        <v>355</v>
      </c>
      <c r="D165" s="881">
        <v>135000</v>
      </c>
      <c r="E165" s="881">
        <v>0</v>
      </c>
      <c r="F165" s="236">
        <v>135000</v>
      </c>
      <c r="G165" s="61">
        <v>0</v>
      </c>
      <c r="H165" s="61">
        <v>0</v>
      </c>
      <c r="I165" s="61">
        <v>0</v>
      </c>
      <c r="J165" s="61">
        <v>0</v>
      </c>
      <c r="K165" s="61">
        <v>0</v>
      </c>
      <c r="L165" s="61">
        <v>0</v>
      </c>
      <c r="M165" s="61">
        <v>35000</v>
      </c>
      <c r="N165" s="61">
        <v>35000</v>
      </c>
      <c r="O165" s="61">
        <v>35000</v>
      </c>
      <c r="P165" s="61">
        <v>30000</v>
      </c>
      <c r="Q165" s="61">
        <v>0</v>
      </c>
      <c r="R165" s="61">
        <v>135000</v>
      </c>
      <c r="S165" s="61">
        <v>0</v>
      </c>
      <c r="T165" s="61">
        <v>0</v>
      </c>
      <c r="U165" s="61">
        <v>0</v>
      </c>
      <c r="V165" s="61">
        <v>0</v>
      </c>
      <c r="W165" s="61">
        <v>0</v>
      </c>
      <c r="X165" s="61">
        <v>0</v>
      </c>
      <c r="Y165" s="61">
        <v>0</v>
      </c>
      <c r="Z165" s="61">
        <v>0</v>
      </c>
      <c r="AA165" s="61">
        <v>0</v>
      </c>
      <c r="AB165" s="61">
        <v>0</v>
      </c>
      <c r="AC165" s="61">
        <v>0</v>
      </c>
      <c r="AD165" s="61">
        <v>0</v>
      </c>
      <c r="AE165" s="862"/>
      <c r="AF165" s="862"/>
      <c r="AG165" s="862"/>
      <c r="AH165" s="862"/>
      <c r="AI165" s="862"/>
      <c r="AJ165" s="862"/>
      <c r="AK165" s="862"/>
      <c r="AL165" s="862"/>
      <c r="AM165" s="862"/>
      <c r="AN165" s="862"/>
      <c r="AO165" s="862"/>
      <c r="AP165" s="862"/>
      <c r="AQ165" s="862"/>
      <c r="AR165" s="862"/>
      <c r="AS165" s="862"/>
      <c r="AT165" s="862"/>
      <c r="AU165" s="862"/>
      <c r="AV165" s="862"/>
      <c r="AW165" s="862"/>
      <c r="AX165" s="862"/>
      <c r="AY165" s="862"/>
      <c r="AZ165" s="862"/>
      <c r="BA165" s="862"/>
      <c r="BB165" s="862"/>
      <c r="BC165" s="862"/>
    </row>
    <row r="166" spans="1:55" s="333" customFormat="1" ht="138.6" customHeight="1" x14ac:dyDescent="0.3">
      <c r="A166" s="1077"/>
      <c r="B166" s="316" t="s">
        <v>3</v>
      </c>
      <c r="C166" s="274" t="s">
        <v>356</v>
      </c>
      <c r="D166" s="881"/>
      <c r="E166" s="881">
        <v>1483200</v>
      </c>
      <c r="F166" s="236">
        <v>1483200</v>
      </c>
      <c r="G166" s="61">
        <v>0</v>
      </c>
      <c r="H166" s="61">
        <v>0</v>
      </c>
      <c r="I166" s="61">
        <v>0</v>
      </c>
      <c r="J166" s="61">
        <v>500000</v>
      </c>
      <c r="K166" s="61">
        <v>0</v>
      </c>
      <c r="L166" s="61">
        <v>0</v>
      </c>
      <c r="M166" s="61">
        <v>0</v>
      </c>
      <c r="N166" s="61">
        <v>494400</v>
      </c>
      <c r="O166" s="61">
        <v>0</v>
      </c>
      <c r="P166" s="61">
        <v>0</v>
      </c>
      <c r="Q166" s="61">
        <v>0</v>
      </c>
      <c r="R166" s="61">
        <v>994400</v>
      </c>
      <c r="S166" s="61">
        <v>0</v>
      </c>
      <c r="T166" s="61">
        <v>0</v>
      </c>
      <c r="U166" s="61">
        <v>488800</v>
      </c>
      <c r="V166" s="61">
        <v>0</v>
      </c>
      <c r="W166" s="61">
        <v>0</v>
      </c>
      <c r="X166" s="61">
        <v>0</v>
      </c>
      <c r="Y166" s="61">
        <v>0</v>
      </c>
      <c r="Z166" s="61">
        <v>0</v>
      </c>
      <c r="AA166" s="61">
        <v>0</v>
      </c>
      <c r="AB166" s="61">
        <v>0</v>
      </c>
      <c r="AC166" s="61">
        <v>0</v>
      </c>
      <c r="AD166" s="61">
        <v>488800</v>
      </c>
      <c r="AE166" s="862"/>
      <c r="AF166" s="862"/>
      <c r="AG166" s="862"/>
      <c r="AH166" s="862"/>
      <c r="AI166" s="862"/>
      <c r="AJ166" s="862"/>
      <c r="AK166" s="862"/>
      <c r="AL166" s="862"/>
      <c r="AM166" s="862"/>
      <c r="AN166" s="862"/>
      <c r="AO166" s="862"/>
      <c r="AP166" s="862"/>
      <c r="AQ166" s="862"/>
      <c r="AR166" s="862"/>
      <c r="AS166" s="862"/>
      <c r="AT166" s="862"/>
      <c r="AU166" s="862"/>
      <c r="AV166" s="862"/>
      <c r="AW166" s="862"/>
      <c r="AX166" s="862"/>
      <c r="AY166" s="862"/>
      <c r="AZ166" s="862"/>
      <c r="BA166" s="862"/>
      <c r="BB166" s="862"/>
      <c r="BC166" s="862"/>
    </row>
    <row r="167" spans="1:55" ht="46.5" customHeight="1" x14ac:dyDescent="0.3">
      <c r="A167" s="1075" t="s">
        <v>731</v>
      </c>
      <c r="B167" s="266"/>
      <c r="C167" s="301"/>
      <c r="D167" s="267">
        <v>1625509.65</v>
      </c>
      <c r="E167" s="267">
        <v>2468220</v>
      </c>
      <c r="F167" s="267">
        <v>4093729.65</v>
      </c>
      <c r="G167" s="267">
        <v>0</v>
      </c>
      <c r="H167" s="267">
        <v>0</v>
      </c>
      <c r="I167" s="267">
        <v>0</v>
      </c>
      <c r="J167" s="267">
        <v>137000</v>
      </c>
      <c r="K167" s="267">
        <v>22000</v>
      </c>
      <c r="L167" s="267">
        <v>22000</v>
      </c>
      <c r="M167" s="267">
        <v>172000</v>
      </c>
      <c r="N167" s="267">
        <v>451000</v>
      </c>
      <c r="O167" s="267">
        <v>177000</v>
      </c>
      <c r="P167" s="267">
        <v>122000</v>
      </c>
      <c r="Q167" s="267">
        <v>47000</v>
      </c>
      <c r="R167" s="267">
        <v>1150000</v>
      </c>
      <c r="S167" s="267">
        <v>22000</v>
      </c>
      <c r="T167" s="267">
        <v>22000</v>
      </c>
      <c r="U167" s="267">
        <v>93000</v>
      </c>
      <c r="V167" s="267">
        <v>1812220</v>
      </c>
      <c r="W167" s="267">
        <v>502000</v>
      </c>
      <c r="X167" s="267">
        <v>143000</v>
      </c>
      <c r="Y167" s="267">
        <v>93000</v>
      </c>
      <c r="Z167" s="267">
        <v>120509.65</v>
      </c>
      <c r="AA167" s="267">
        <v>67000</v>
      </c>
      <c r="AB167" s="267">
        <v>47000</v>
      </c>
      <c r="AC167" s="267">
        <v>22000</v>
      </c>
      <c r="AD167" s="267">
        <v>2943729.65</v>
      </c>
    </row>
    <row r="168" spans="1:55" s="333" customFormat="1" ht="135" customHeight="1" x14ac:dyDescent="0.3">
      <c r="A168" s="1076"/>
      <c r="B168" s="316" t="s">
        <v>2</v>
      </c>
      <c r="C168" s="245" t="s">
        <v>735</v>
      </c>
      <c r="D168" s="881">
        <v>1225509.6499999999</v>
      </c>
      <c r="E168" s="881">
        <v>0</v>
      </c>
      <c r="F168" s="236">
        <v>1225509.6499999999</v>
      </c>
      <c r="G168" s="61">
        <v>0</v>
      </c>
      <c r="H168" s="61">
        <v>0</v>
      </c>
      <c r="I168" s="61">
        <v>0</v>
      </c>
      <c r="J168" s="61">
        <v>11000</v>
      </c>
      <c r="K168" s="61">
        <v>22000</v>
      </c>
      <c r="L168" s="61">
        <v>22000</v>
      </c>
      <c r="M168" s="61">
        <v>132000</v>
      </c>
      <c r="N168" s="61">
        <v>92000</v>
      </c>
      <c r="O168" s="61">
        <v>152000</v>
      </c>
      <c r="P168" s="61">
        <v>97000</v>
      </c>
      <c r="Q168" s="61">
        <v>22000</v>
      </c>
      <c r="R168" s="61">
        <v>550000</v>
      </c>
      <c r="S168" s="61">
        <v>22000</v>
      </c>
      <c r="T168" s="61">
        <v>22000</v>
      </c>
      <c r="U168" s="61">
        <v>68000</v>
      </c>
      <c r="V168" s="61">
        <v>128000</v>
      </c>
      <c r="W168" s="61">
        <v>68000</v>
      </c>
      <c r="X168" s="61">
        <v>118000</v>
      </c>
      <c r="Y168" s="61">
        <v>68000</v>
      </c>
      <c r="Z168" s="61">
        <v>95509.65</v>
      </c>
      <c r="AA168" s="61">
        <v>42000</v>
      </c>
      <c r="AB168" s="61">
        <v>22000</v>
      </c>
      <c r="AC168" s="61">
        <v>22000</v>
      </c>
      <c r="AD168" s="61">
        <v>675509.65</v>
      </c>
      <c r="AE168" s="862"/>
      <c r="AF168" s="862"/>
      <c r="AG168" s="862"/>
      <c r="AH168" s="862"/>
      <c r="AI168" s="862"/>
      <c r="AJ168" s="862"/>
      <c r="AK168" s="862"/>
      <c r="AL168" s="862"/>
      <c r="AM168" s="862"/>
      <c r="AN168" s="862"/>
      <c r="AO168" s="862"/>
      <c r="AP168" s="862"/>
      <c r="AQ168" s="862"/>
      <c r="AR168" s="862"/>
      <c r="AS168" s="862"/>
      <c r="AT168" s="862"/>
      <c r="AU168" s="862"/>
      <c r="AV168" s="862"/>
      <c r="AW168" s="862"/>
      <c r="AX168" s="862"/>
      <c r="AY168" s="862"/>
      <c r="AZ168" s="862"/>
      <c r="BA168" s="862"/>
      <c r="BB168" s="862"/>
      <c r="BC168" s="862"/>
    </row>
    <row r="169" spans="1:55" s="334" customFormat="1" ht="84.6" customHeight="1" x14ac:dyDescent="0.3">
      <c r="A169" s="1076"/>
      <c r="B169" s="316" t="s">
        <v>3</v>
      </c>
      <c r="C169" s="232" t="s">
        <v>557</v>
      </c>
      <c r="D169" s="881"/>
      <c r="E169" s="881">
        <v>2468220</v>
      </c>
      <c r="F169" s="236">
        <v>2468220</v>
      </c>
      <c r="G169" s="61">
        <v>0</v>
      </c>
      <c r="H169" s="61">
        <v>0</v>
      </c>
      <c r="I169" s="61">
        <v>0</v>
      </c>
      <c r="J169" s="61">
        <v>66000</v>
      </c>
      <c r="K169" s="61">
        <v>0</v>
      </c>
      <c r="L169" s="61">
        <v>0</v>
      </c>
      <c r="M169" s="61">
        <v>0</v>
      </c>
      <c r="N169" s="61">
        <v>334000</v>
      </c>
      <c r="O169" s="61">
        <v>0</v>
      </c>
      <c r="P169" s="61">
        <v>0</v>
      </c>
      <c r="Q169" s="61">
        <v>0</v>
      </c>
      <c r="R169" s="61">
        <v>400000</v>
      </c>
      <c r="S169" s="61">
        <v>0</v>
      </c>
      <c r="T169" s="61">
        <v>0</v>
      </c>
      <c r="U169" s="61">
        <v>0</v>
      </c>
      <c r="V169" s="61">
        <v>1659220</v>
      </c>
      <c r="W169" s="61">
        <v>409000</v>
      </c>
      <c r="X169" s="61">
        <v>0</v>
      </c>
      <c r="Y169" s="61">
        <v>0</v>
      </c>
      <c r="Z169" s="61">
        <v>0</v>
      </c>
      <c r="AA169" s="61">
        <v>0</v>
      </c>
      <c r="AB169" s="61">
        <v>0</v>
      </c>
      <c r="AC169" s="61">
        <v>0</v>
      </c>
      <c r="AD169" s="61">
        <v>2068220</v>
      </c>
      <c r="AE169" s="864"/>
      <c r="AF169" s="864"/>
      <c r="AG169" s="864"/>
      <c r="AH169" s="864"/>
      <c r="AI169" s="864"/>
      <c r="AJ169" s="864"/>
      <c r="AK169" s="864"/>
      <c r="AL169" s="864"/>
      <c r="AM169" s="864"/>
      <c r="AN169" s="864"/>
      <c r="AO169" s="864"/>
      <c r="AP169" s="864"/>
      <c r="AQ169" s="864"/>
      <c r="AR169" s="864"/>
      <c r="AS169" s="864"/>
      <c r="AT169" s="864"/>
      <c r="AU169" s="864"/>
      <c r="AV169" s="864"/>
      <c r="AW169" s="864"/>
      <c r="AX169" s="864"/>
      <c r="AY169" s="864"/>
      <c r="AZ169" s="864"/>
      <c r="BA169" s="864"/>
      <c r="BB169" s="864"/>
      <c r="BC169" s="864"/>
    </row>
    <row r="170" spans="1:55" s="334" customFormat="1" ht="91.2" customHeight="1" x14ac:dyDescent="0.3">
      <c r="A170" s="1077"/>
      <c r="B170" s="316" t="s">
        <v>4</v>
      </c>
      <c r="C170" s="232" t="s">
        <v>736</v>
      </c>
      <c r="D170" s="881">
        <v>400000</v>
      </c>
      <c r="E170" s="881">
        <v>0</v>
      </c>
      <c r="F170" s="236">
        <v>400000</v>
      </c>
      <c r="G170" s="61">
        <v>0</v>
      </c>
      <c r="H170" s="61">
        <v>0</v>
      </c>
      <c r="I170" s="61">
        <v>0</v>
      </c>
      <c r="J170" s="61">
        <v>60000</v>
      </c>
      <c r="K170" s="61">
        <v>0</v>
      </c>
      <c r="L170" s="61">
        <v>0</v>
      </c>
      <c r="M170" s="61">
        <v>40000</v>
      </c>
      <c r="N170" s="61">
        <v>25000</v>
      </c>
      <c r="O170" s="61">
        <v>25000</v>
      </c>
      <c r="P170" s="61">
        <v>25000</v>
      </c>
      <c r="Q170" s="61">
        <v>25000</v>
      </c>
      <c r="R170" s="61">
        <v>200000</v>
      </c>
      <c r="S170" s="61">
        <v>0</v>
      </c>
      <c r="T170" s="61">
        <v>0</v>
      </c>
      <c r="U170" s="61">
        <v>25000</v>
      </c>
      <c r="V170" s="61">
        <v>25000</v>
      </c>
      <c r="W170" s="61">
        <v>25000</v>
      </c>
      <c r="X170" s="61">
        <v>25000</v>
      </c>
      <c r="Y170" s="61">
        <v>25000</v>
      </c>
      <c r="Z170" s="61">
        <v>25000</v>
      </c>
      <c r="AA170" s="61">
        <v>25000</v>
      </c>
      <c r="AB170" s="61">
        <v>25000</v>
      </c>
      <c r="AC170" s="61">
        <v>0</v>
      </c>
      <c r="AD170" s="61">
        <v>200000</v>
      </c>
      <c r="AE170" s="864"/>
      <c r="AF170" s="864"/>
      <c r="AG170" s="864"/>
      <c r="AH170" s="864"/>
      <c r="AI170" s="864"/>
      <c r="AJ170" s="864"/>
      <c r="AK170" s="864"/>
      <c r="AL170" s="864"/>
      <c r="AM170" s="864"/>
      <c r="AN170" s="864"/>
      <c r="AO170" s="864"/>
      <c r="AP170" s="864"/>
      <c r="AQ170" s="864"/>
      <c r="AR170" s="864"/>
      <c r="AS170" s="864"/>
      <c r="AT170" s="864"/>
      <c r="AU170" s="864"/>
      <c r="AV170" s="864"/>
      <c r="AW170" s="864"/>
      <c r="AX170" s="864"/>
      <c r="AY170" s="864"/>
      <c r="AZ170" s="864"/>
      <c r="BA170" s="864"/>
      <c r="BB170" s="864"/>
      <c r="BC170" s="864"/>
    </row>
    <row r="171" spans="1:55" ht="42.75" customHeight="1" x14ac:dyDescent="0.3">
      <c r="A171" s="1075" t="s">
        <v>322</v>
      </c>
      <c r="B171" s="266"/>
      <c r="C171" s="301"/>
      <c r="D171" s="267">
        <v>400000</v>
      </c>
      <c r="E171" s="267">
        <v>0</v>
      </c>
      <c r="F171" s="267">
        <v>400000</v>
      </c>
      <c r="G171" s="267">
        <v>0</v>
      </c>
      <c r="H171" s="267">
        <v>0</v>
      </c>
      <c r="I171" s="267">
        <v>0</v>
      </c>
      <c r="J171" s="267">
        <v>0</v>
      </c>
      <c r="K171" s="267">
        <v>0</v>
      </c>
      <c r="L171" s="267">
        <v>0</v>
      </c>
      <c r="M171" s="267">
        <v>0</v>
      </c>
      <c r="N171" s="267">
        <v>0</v>
      </c>
      <c r="O171" s="267">
        <v>1353.5</v>
      </c>
      <c r="P171" s="267">
        <v>28000</v>
      </c>
      <c r="Q171" s="267">
        <v>25000</v>
      </c>
      <c r="R171" s="267">
        <v>54353.5</v>
      </c>
      <c r="S171" s="267">
        <v>0</v>
      </c>
      <c r="T171" s="267">
        <v>42000</v>
      </c>
      <c r="U171" s="267">
        <v>42000</v>
      </c>
      <c r="V171" s="267">
        <v>42000</v>
      </c>
      <c r="W171" s="267">
        <v>42000</v>
      </c>
      <c r="X171" s="267">
        <v>42000</v>
      </c>
      <c r="Y171" s="267">
        <v>27000</v>
      </c>
      <c r="Z171" s="267">
        <v>27000</v>
      </c>
      <c r="AA171" s="267">
        <v>27646.5</v>
      </c>
      <c r="AB171" s="267">
        <v>29000</v>
      </c>
      <c r="AC171" s="267">
        <v>25000</v>
      </c>
      <c r="AD171" s="267">
        <v>345646.5</v>
      </c>
    </row>
    <row r="172" spans="1:55" s="333" customFormat="1" ht="67.95" customHeight="1" x14ac:dyDescent="0.3">
      <c r="A172" s="1076"/>
      <c r="B172" s="311" t="s">
        <v>2</v>
      </c>
      <c r="C172" s="274" t="s">
        <v>323</v>
      </c>
      <c r="D172" s="80">
        <v>25000</v>
      </c>
      <c r="E172" s="80">
        <v>0</v>
      </c>
      <c r="F172" s="236">
        <v>25000</v>
      </c>
      <c r="G172" s="61">
        <v>0</v>
      </c>
      <c r="H172" s="61">
        <v>0</v>
      </c>
      <c r="I172" s="61">
        <v>0</v>
      </c>
      <c r="J172" s="61">
        <v>0</v>
      </c>
      <c r="K172" s="61">
        <v>0</v>
      </c>
      <c r="L172" s="61">
        <v>0</v>
      </c>
      <c r="M172" s="61">
        <v>0</v>
      </c>
      <c r="N172" s="61">
        <v>0</v>
      </c>
      <c r="O172" s="61">
        <v>1353.5</v>
      </c>
      <c r="P172" s="61">
        <v>3000</v>
      </c>
      <c r="Q172" s="61">
        <v>0</v>
      </c>
      <c r="R172" s="61">
        <v>4353.5</v>
      </c>
      <c r="S172" s="61">
        <v>0</v>
      </c>
      <c r="T172" s="61">
        <v>2000</v>
      </c>
      <c r="U172" s="61">
        <v>2000</v>
      </c>
      <c r="V172" s="61">
        <v>2000</v>
      </c>
      <c r="W172" s="61">
        <v>2000</v>
      </c>
      <c r="X172" s="61">
        <v>2000</v>
      </c>
      <c r="Y172" s="61">
        <v>2000</v>
      </c>
      <c r="Z172" s="61">
        <v>2000</v>
      </c>
      <c r="AA172" s="61">
        <v>2646.5</v>
      </c>
      <c r="AB172" s="61">
        <v>4000</v>
      </c>
      <c r="AC172" s="61">
        <v>0</v>
      </c>
      <c r="AD172" s="61">
        <v>20646.5</v>
      </c>
      <c r="AE172" s="862"/>
      <c r="AF172" s="862"/>
      <c r="AG172" s="862"/>
      <c r="AH172" s="862"/>
      <c r="AI172" s="862"/>
      <c r="AJ172" s="862"/>
      <c r="AK172" s="862"/>
      <c r="AL172" s="862"/>
      <c r="AM172" s="862"/>
      <c r="AN172" s="862"/>
      <c r="AO172" s="862"/>
      <c r="AP172" s="862"/>
      <c r="AQ172" s="862"/>
      <c r="AR172" s="862"/>
      <c r="AS172" s="862"/>
      <c r="AT172" s="862"/>
      <c r="AU172" s="862"/>
      <c r="AV172" s="862"/>
      <c r="AW172" s="862"/>
      <c r="AX172" s="862"/>
      <c r="AY172" s="862"/>
      <c r="AZ172" s="862"/>
      <c r="BA172" s="862"/>
      <c r="BB172" s="862"/>
      <c r="BC172" s="862"/>
    </row>
    <row r="173" spans="1:55" s="334" customFormat="1" ht="107.4" customHeight="1" x14ac:dyDescent="0.3">
      <c r="A173" s="1077"/>
      <c r="B173" s="311" t="s">
        <v>3</v>
      </c>
      <c r="C173" s="274" t="s">
        <v>559</v>
      </c>
      <c r="D173" s="23">
        <v>375000</v>
      </c>
      <c r="E173" s="23">
        <v>0</v>
      </c>
      <c r="F173" s="74">
        <v>375000</v>
      </c>
      <c r="G173" s="81">
        <v>0</v>
      </c>
      <c r="H173" s="81">
        <v>0</v>
      </c>
      <c r="I173" s="81">
        <v>0</v>
      </c>
      <c r="J173" s="81">
        <v>0</v>
      </c>
      <c r="K173" s="81">
        <v>0</v>
      </c>
      <c r="L173" s="81">
        <v>0</v>
      </c>
      <c r="M173" s="81">
        <v>0</v>
      </c>
      <c r="N173" s="81">
        <v>0</v>
      </c>
      <c r="O173" s="81">
        <v>0</v>
      </c>
      <c r="P173" s="81">
        <v>25000</v>
      </c>
      <c r="Q173" s="81">
        <v>25000</v>
      </c>
      <c r="R173" s="164">
        <v>50000</v>
      </c>
      <c r="S173" s="81">
        <v>0</v>
      </c>
      <c r="T173" s="81">
        <v>40000</v>
      </c>
      <c r="U173" s="81">
        <v>40000</v>
      </c>
      <c r="V173" s="81">
        <v>40000</v>
      </c>
      <c r="W173" s="81">
        <v>40000</v>
      </c>
      <c r="X173" s="81">
        <v>40000</v>
      </c>
      <c r="Y173" s="81">
        <v>25000</v>
      </c>
      <c r="Z173" s="81">
        <v>25000</v>
      </c>
      <c r="AA173" s="81">
        <v>25000</v>
      </c>
      <c r="AB173" s="81">
        <v>25000</v>
      </c>
      <c r="AC173" s="81">
        <v>25000</v>
      </c>
      <c r="AD173" s="164">
        <v>325000</v>
      </c>
      <c r="AE173" s="864"/>
      <c r="AF173" s="864"/>
      <c r="AG173" s="864"/>
      <c r="AH173" s="864"/>
      <c r="AI173" s="864"/>
      <c r="AJ173" s="864"/>
      <c r="AK173" s="864"/>
      <c r="AL173" s="864"/>
      <c r="AM173" s="864"/>
      <c r="AN173" s="864"/>
      <c r="AO173" s="864"/>
      <c r="AP173" s="864"/>
      <c r="AQ173" s="864"/>
      <c r="AR173" s="864"/>
      <c r="AS173" s="864"/>
      <c r="AT173" s="864"/>
      <c r="AU173" s="864"/>
      <c r="AV173" s="864"/>
      <c r="AW173" s="864"/>
      <c r="AX173" s="864"/>
      <c r="AY173" s="864"/>
      <c r="AZ173" s="864"/>
      <c r="BA173" s="864"/>
      <c r="BB173" s="864"/>
      <c r="BC173" s="864"/>
    </row>
    <row r="174" spans="1:55" s="89" customFormat="1" ht="28.5" customHeight="1" x14ac:dyDescent="0.3">
      <c r="A174" s="768" t="s">
        <v>0</v>
      </c>
      <c r="B174" s="87"/>
      <c r="C174" s="127"/>
      <c r="D174" s="128">
        <f>+D176</f>
        <v>2921640.6</v>
      </c>
      <c r="E174" s="128">
        <f t="shared" ref="E174:AD174" si="18">+E176</f>
        <v>0</v>
      </c>
      <c r="F174" s="128">
        <f t="shared" si="18"/>
        <v>2921640.6</v>
      </c>
      <c r="G174" s="128">
        <f t="shared" si="18"/>
        <v>85567.06</v>
      </c>
      <c r="H174" s="128">
        <f t="shared" si="18"/>
        <v>114755.89</v>
      </c>
      <c r="I174" s="128">
        <f t="shared" si="18"/>
        <v>208414.6</v>
      </c>
      <c r="J174" s="128">
        <f t="shared" si="18"/>
        <v>136974</v>
      </c>
      <c r="K174" s="128">
        <f t="shared" si="18"/>
        <v>90974</v>
      </c>
      <c r="L174" s="128">
        <f t="shared" si="18"/>
        <v>117974</v>
      </c>
      <c r="M174" s="128">
        <f t="shared" si="18"/>
        <v>96274</v>
      </c>
      <c r="N174" s="128">
        <f t="shared" si="18"/>
        <v>174201.09</v>
      </c>
      <c r="O174" s="128">
        <f t="shared" si="18"/>
        <v>119274</v>
      </c>
      <c r="P174" s="128">
        <f t="shared" si="18"/>
        <v>155626.04999999999</v>
      </c>
      <c r="Q174" s="128">
        <f t="shared" si="18"/>
        <v>145816.91</v>
      </c>
      <c r="R174" s="128">
        <f t="shared" si="18"/>
        <v>1445851.6</v>
      </c>
      <c r="S174" s="128">
        <f t="shared" si="18"/>
        <v>79399</v>
      </c>
      <c r="T174" s="128">
        <f t="shared" si="18"/>
        <v>216399</v>
      </c>
      <c r="U174" s="128">
        <f t="shared" si="18"/>
        <v>124399</v>
      </c>
      <c r="V174" s="128">
        <f t="shared" si="18"/>
        <v>104399</v>
      </c>
      <c r="W174" s="128">
        <f t="shared" si="18"/>
        <v>158799</v>
      </c>
      <c r="X174" s="128">
        <f t="shared" si="18"/>
        <v>114399</v>
      </c>
      <c r="Y174" s="128">
        <f t="shared" si="18"/>
        <v>124399</v>
      </c>
      <c r="Z174" s="128">
        <f t="shared" si="18"/>
        <v>138399</v>
      </c>
      <c r="AA174" s="128">
        <f t="shared" si="18"/>
        <v>128399</v>
      </c>
      <c r="AB174" s="128">
        <f t="shared" si="18"/>
        <v>165399</v>
      </c>
      <c r="AC174" s="128">
        <f t="shared" si="18"/>
        <v>121399</v>
      </c>
      <c r="AD174" s="128">
        <f t="shared" si="18"/>
        <v>1475789</v>
      </c>
      <c r="AE174" s="860"/>
      <c r="AF174" s="860"/>
      <c r="AG174" s="860"/>
      <c r="AH174" s="860"/>
      <c r="AI174" s="860"/>
      <c r="AJ174" s="860"/>
      <c r="AK174" s="860"/>
      <c r="AL174" s="860"/>
      <c r="AM174" s="860"/>
      <c r="AN174" s="860"/>
      <c r="AO174" s="860"/>
      <c r="AP174" s="860"/>
      <c r="AQ174" s="860"/>
      <c r="AR174" s="860"/>
      <c r="AS174" s="860"/>
      <c r="AT174" s="860"/>
      <c r="AU174" s="860"/>
      <c r="AV174" s="860"/>
      <c r="AW174" s="860"/>
      <c r="AX174" s="860"/>
      <c r="AY174" s="860"/>
      <c r="AZ174" s="860"/>
      <c r="BA174" s="860"/>
      <c r="BB174" s="860"/>
      <c r="BC174" s="860"/>
    </row>
    <row r="175" spans="1:55" s="4" customFormat="1" x14ac:dyDescent="0.3">
      <c r="A175" s="769" t="s">
        <v>1</v>
      </c>
      <c r="B175" s="769"/>
      <c r="C175" s="2"/>
      <c r="D175" s="65" t="e">
        <f>+S175+#REF!</f>
        <v>#REF!</v>
      </c>
      <c r="E175" s="65" t="e">
        <f>+T175+D175</f>
        <v>#REF!</v>
      </c>
      <c r="F175" s="56" t="e">
        <f>+D175+E175</f>
        <v>#REF!</v>
      </c>
      <c r="G175" s="68"/>
      <c r="H175" s="68"/>
      <c r="I175" s="68"/>
      <c r="J175" s="68"/>
      <c r="K175" s="68"/>
      <c r="L175" s="68"/>
      <c r="M175" s="68"/>
      <c r="N175" s="68"/>
      <c r="O175" s="68"/>
      <c r="P175" s="68"/>
      <c r="Q175" s="68"/>
      <c r="R175" s="56"/>
      <c r="S175" s="93"/>
      <c r="T175" s="68"/>
      <c r="U175" s="68"/>
      <c r="V175" s="68"/>
      <c r="W175" s="68"/>
      <c r="X175" s="68"/>
      <c r="Y175" s="68"/>
      <c r="Z175" s="68"/>
      <c r="AA175" s="68"/>
      <c r="AB175" s="68"/>
      <c r="AC175" s="68"/>
      <c r="AD175" s="56"/>
      <c r="AE175" s="9"/>
      <c r="AF175" s="9"/>
      <c r="AG175" s="9"/>
      <c r="AH175" s="9"/>
      <c r="AI175" s="9"/>
      <c r="AJ175" s="9"/>
      <c r="AK175" s="9"/>
      <c r="AL175" s="9"/>
      <c r="AM175" s="9"/>
      <c r="AN175" s="9"/>
      <c r="AO175" s="9"/>
      <c r="AP175" s="9"/>
      <c r="AQ175" s="9"/>
      <c r="AR175" s="9"/>
      <c r="AS175" s="9"/>
      <c r="AT175" s="9"/>
      <c r="AU175" s="9"/>
      <c r="AV175" s="9"/>
      <c r="AW175" s="9"/>
      <c r="AX175" s="9"/>
      <c r="AY175" s="9"/>
      <c r="AZ175" s="9"/>
      <c r="BA175" s="9"/>
      <c r="BB175" s="9"/>
      <c r="BC175" s="9"/>
    </row>
    <row r="176" spans="1:55" x14ac:dyDescent="0.3">
      <c r="A176" s="1098" t="s">
        <v>386</v>
      </c>
      <c r="B176" s="1099"/>
      <c r="C176" s="1100"/>
      <c r="D176" s="69">
        <v>2921640.6</v>
      </c>
      <c r="E176" s="69">
        <v>0</v>
      </c>
      <c r="F176" s="69">
        <v>2921640.6</v>
      </c>
      <c r="G176" s="69">
        <f t="shared" ref="G176:AD176" si="19">+G177</f>
        <v>85567.06</v>
      </c>
      <c r="H176" s="69">
        <f t="shared" si="19"/>
        <v>114755.89</v>
      </c>
      <c r="I176" s="69">
        <f t="shared" si="19"/>
        <v>208414.6</v>
      </c>
      <c r="J176" s="69">
        <f t="shared" si="19"/>
        <v>136974</v>
      </c>
      <c r="K176" s="69">
        <f t="shared" si="19"/>
        <v>90974</v>
      </c>
      <c r="L176" s="69">
        <f t="shared" si="19"/>
        <v>117974</v>
      </c>
      <c r="M176" s="69">
        <f t="shared" si="19"/>
        <v>96274</v>
      </c>
      <c r="N176" s="69">
        <f t="shared" si="19"/>
        <v>174201.09</v>
      </c>
      <c r="O176" s="69">
        <f t="shared" si="19"/>
        <v>119274</v>
      </c>
      <c r="P176" s="69">
        <f t="shared" si="19"/>
        <v>155626.04999999999</v>
      </c>
      <c r="Q176" s="69">
        <f t="shared" si="19"/>
        <v>145816.91</v>
      </c>
      <c r="R176" s="69">
        <f t="shared" si="19"/>
        <v>1445851.6</v>
      </c>
      <c r="S176" s="69">
        <f t="shared" si="19"/>
        <v>79399</v>
      </c>
      <c r="T176" s="69">
        <f t="shared" si="19"/>
        <v>216399</v>
      </c>
      <c r="U176" s="69">
        <f t="shared" si="19"/>
        <v>124399</v>
      </c>
      <c r="V176" s="69">
        <f t="shared" si="19"/>
        <v>104399</v>
      </c>
      <c r="W176" s="69">
        <f t="shared" si="19"/>
        <v>158799</v>
      </c>
      <c r="X176" s="69">
        <f t="shared" si="19"/>
        <v>114399</v>
      </c>
      <c r="Y176" s="69">
        <f t="shared" si="19"/>
        <v>124399</v>
      </c>
      <c r="Z176" s="69">
        <f t="shared" si="19"/>
        <v>138399</v>
      </c>
      <c r="AA176" s="69">
        <f t="shared" si="19"/>
        <v>128399</v>
      </c>
      <c r="AB176" s="69">
        <f t="shared" si="19"/>
        <v>165399</v>
      </c>
      <c r="AC176" s="69">
        <f t="shared" si="19"/>
        <v>121399</v>
      </c>
      <c r="AD176" s="69">
        <f t="shared" si="19"/>
        <v>1475789</v>
      </c>
    </row>
    <row r="177" spans="1:55" x14ac:dyDescent="0.3">
      <c r="A177" s="50"/>
      <c r="B177" s="45"/>
      <c r="C177" s="105"/>
      <c r="D177" s="71">
        <v>2921640.6</v>
      </c>
      <c r="E177" s="71">
        <v>0</v>
      </c>
      <c r="F177" s="71">
        <v>2921640.6</v>
      </c>
      <c r="G177" s="71">
        <f>+G178+G182+G188+G194+G197</f>
        <v>85567.06</v>
      </c>
      <c r="H177" s="71">
        <f t="shared" ref="H177:AD177" si="20">+H178+H182+H188+H194+H197</f>
        <v>114755.89</v>
      </c>
      <c r="I177" s="71">
        <f t="shared" si="20"/>
        <v>208414.6</v>
      </c>
      <c r="J177" s="71">
        <f t="shared" si="20"/>
        <v>136974</v>
      </c>
      <c r="K177" s="71">
        <f t="shared" si="20"/>
        <v>90974</v>
      </c>
      <c r="L177" s="71">
        <f t="shared" si="20"/>
        <v>117974</v>
      </c>
      <c r="M177" s="71">
        <f t="shared" si="20"/>
        <v>96274</v>
      </c>
      <c r="N177" s="71">
        <f t="shared" si="20"/>
        <v>174201.09</v>
      </c>
      <c r="O177" s="71">
        <f t="shared" si="20"/>
        <v>119274</v>
      </c>
      <c r="P177" s="71">
        <f t="shared" si="20"/>
        <v>155626.04999999999</v>
      </c>
      <c r="Q177" s="71">
        <f t="shared" si="20"/>
        <v>145816.91</v>
      </c>
      <c r="R177" s="71">
        <f t="shared" si="20"/>
        <v>1445851.6</v>
      </c>
      <c r="S177" s="95">
        <f t="shared" si="20"/>
        <v>79399</v>
      </c>
      <c r="T177" s="71">
        <f t="shared" si="20"/>
        <v>216399</v>
      </c>
      <c r="U177" s="71">
        <f t="shared" si="20"/>
        <v>124399</v>
      </c>
      <c r="V177" s="71">
        <f t="shared" si="20"/>
        <v>104399</v>
      </c>
      <c r="W177" s="71">
        <f t="shared" si="20"/>
        <v>158799</v>
      </c>
      <c r="X177" s="71">
        <f t="shared" si="20"/>
        <v>114399</v>
      </c>
      <c r="Y177" s="71">
        <f t="shared" si="20"/>
        <v>124399</v>
      </c>
      <c r="Z177" s="71">
        <f t="shared" si="20"/>
        <v>138399</v>
      </c>
      <c r="AA177" s="71">
        <f t="shared" si="20"/>
        <v>128399</v>
      </c>
      <c r="AB177" s="71">
        <f t="shared" si="20"/>
        <v>165399</v>
      </c>
      <c r="AC177" s="71">
        <f t="shared" si="20"/>
        <v>121399</v>
      </c>
      <c r="AD177" s="71">
        <f t="shared" si="20"/>
        <v>1475789</v>
      </c>
    </row>
    <row r="178" spans="1:55" x14ac:dyDescent="0.3">
      <c r="A178" s="1075" t="s">
        <v>5</v>
      </c>
      <c r="B178" s="43"/>
      <c r="C178" s="106"/>
      <c r="D178" s="75">
        <v>869000</v>
      </c>
      <c r="E178" s="75">
        <v>0</v>
      </c>
      <c r="F178" s="75">
        <v>869000</v>
      </c>
      <c r="G178" s="75">
        <f>SUM(G179:G181)</f>
        <v>39500</v>
      </c>
      <c r="H178" s="75">
        <f t="shared" ref="H178:AD178" si="21">SUM(H179:H181)</f>
        <v>39500</v>
      </c>
      <c r="I178" s="75">
        <f t="shared" si="21"/>
        <v>39500</v>
      </c>
      <c r="J178" s="75">
        <f t="shared" si="21"/>
        <v>39500</v>
      </c>
      <c r="K178" s="75">
        <f t="shared" si="21"/>
        <v>39500</v>
      </c>
      <c r="L178" s="75">
        <f t="shared" si="21"/>
        <v>39500</v>
      </c>
      <c r="M178" s="75">
        <f t="shared" si="21"/>
        <v>39500</v>
      </c>
      <c r="N178" s="75">
        <f t="shared" si="21"/>
        <v>39500</v>
      </c>
      <c r="O178" s="75">
        <f t="shared" si="21"/>
        <v>39500</v>
      </c>
      <c r="P178" s="75">
        <f t="shared" si="21"/>
        <v>39500</v>
      </c>
      <c r="Q178" s="75">
        <f t="shared" si="21"/>
        <v>39500</v>
      </c>
      <c r="R178" s="75">
        <f t="shared" si="21"/>
        <v>434500</v>
      </c>
      <c r="S178" s="75">
        <f t="shared" si="21"/>
        <v>39500</v>
      </c>
      <c r="T178" s="75">
        <f t="shared" si="21"/>
        <v>39500</v>
      </c>
      <c r="U178" s="75">
        <f t="shared" si="21"/>
        <v>39500</v>
      </c>
      <c r="V178" s="75">
        <f t="shared" si="21"/>
        <v>39500</v>
      </c>
      <c r="W178" s="75">
        <f t="shared" si="21"/>
        <v>39500</v>
      </c>
      <c r="X178" s="75">
        <f t="shared" si="21"/>
        <v>39500</v>
      </c>
      <c r="Y178" s="75">
        <f t="shared" si="21"/>
        <v>39500</v>
      </c>
      <c r="Z178" s="75">
        <f t="shared" si="21"/>
        <v>39500</v>
      </c>
      <c r="AA178" s="75">
        <f t="shared" si="21"/>
        <v>39500</v>
      </c>
      <c r="AB178" s="75">
        <f t="shared" si="21"/>
        <v>39500</v>
      </c>
      <c r="AC178" s="75">
        <f t="shared" si="21"/>
        <v>39500</v>
      </c>
      <c r="AD178" s="75">
        <f t="shared" si="21"/>
        <v>434500</v>
      </c>
    </row>
    <row r="179" spans="1:55" s="4" customFormat="1" x14ac:dyDescent="0.3">
      <c r="A179" s="1076"/>
      <c r="B179" s="774" t="s">
        <v>2</v>
      </c>
      <c r="C179" s="2" t="s">
        <v>81</v>
      </c>
      <c r="D179" s="882">
        <v>286000</v>
      </c>
      <c r="E179" s="882"/>
      <c r="F179" s="74">
        <v>286000</v>
      </c>
      <c r="G179" s="73">
        <f>+'F1,F2,F3,F4 (Desglose)'!H61</f>
        <v>13000</v>
      </c>
      <c r="H179" s="73">
        <f>+'F1,F2,F3,F4 (Desglose)'!I61</f>
        <v>13000</v>
      </c>
      <c r="I179" s="73">
        <f>+'F1,F2,F3,F4 (Desglose)'!J61</f>
        <v>13000</v>
      </c>
      <c r="J179" s="73">
        <f>+'F1,F2,F3,F4 (Desglose)'!K61</f>
        <v>13000</v>
      </c>
      <c r="K179" s="73">
        <f>+'F1,F2,F3,F4 (Desglose)'!L61</f>
        <v>13000</v>
      </c>
      <c r="L179" s="73">
        <f>+'F1,F2,F3,F4 (Desglose)'!M61</f>
        <v>13000</v>
      </c>
      <c r="M179" s="73">
        <f>+'F1,F2,F3,F4 (Desglose)'!N61</f>
        <v>13000</v>
      </c>
      <c r="N179" s="73">
        <f>+'F1,F2,F3,F4 (Desglose)'!O61</f>
        <v>13000</v>
      </c>
      <c r="O179" s="73">
        <f>+'F1,F2,F3,F4 (Desglose)'!P61</f>
        <v>13000</v>
      </c>
      <c r="P179" s="73">
        <f>+'F1,F2,F3,F4 (Desglose)'!Q61</f>
        <v>13000</v>
      </c>
      <c r="Q179" s="73">
        <f>+'F1,F2,F3,F4 (Desglose)'!R61</f>
        <v>13000</v>
      </c>
      <c r="R179" s="81">
        <f>SUM(G179:Q179)</f>
        <v>143000</v>
      </c>
      <c r="S179" s="81">
        <f>+'F1,F2,F3,F4 (Desglose)'!T61</f>
        <v>13000</v>
      </c>
      <c r="T179" s="81">
        <f>+'F1,F2,F3,F4 (Desglose)'!U61</f>
        <v>13000</v>
      </c>
      <c r="U179" s="81">
        <f>+'F1,F2,F3,F4 (Desglose)'!V61</f>
        <v>13000</v>
      </c>
      <c r="V179" s="81">
        <f>+'F1,F2,F3,F4 (Desglose)'!W61</f>
        <v>13000</v>
      </c>
      <c r="W179" s="81">
        <f>+'F1,F2,F3,F4 (Desglose)'!X61</f>
        <v>13000</v>
      </c>
      <c r="X179" s="81">
        <f>+'F1,F2,F3,F4 (Desglose)'!Y61</f>
        <v>13000</v>
      </c>
      <c r="Y179" s="81">
        <f>+'F1,F2,F3,F4 (Desglose)'!Z61</f>
        <v>13000</v>
      </c>
      <c r="Z179" s="81">
        <f>+'F1,F2,F3,F4 (Desglose)'!AA61</f>
        <v>13000</v>
      </c>
      <c r="AA179" s="81">
        <f>+'F1,F2,F3,F4 (Desglose)'!AB61</f>
        <v>13000</v>
      </c>
      <c r="AB179" s="81">
        <f>+'F1,F2,F3,F4 (Desglose)'!AC61</f>
        <v>13000</v>
      </c>
      <c r="AC179" s="81">
        <f>+'F1,F2,F3,F4 (Desglose)'!AD61</f>
        <v>13000</v>
      </c>
      <c r="AD179" s="81">
        <f>SUM(S179:AC179)</f>
        <v>143000</v>
      </c>
      <c r="AE179" s="9"/>
      <c r="AF179" s="9"/>
      <c r="AG179" s="9"/>
      <c r="AH179" s="9"/>
      <c r="AI179" s="9"/>
      <c r="AJ179" s="9"/>
      <c r="AK179" s="9"/>
      <c r="AL179" s="9"/>
      <c r="AM179" s="9"/>
      <c r="AN179" s="9"/>
      <c r="AO179" s="9"/>
      <c r="AP179" s="9"/>
      <c r="AQ179" s="9"/>
      <c r="AR179" s="9"/>
      <c r="AS179" s="9"/>
      <c r="AT179" s="9"/>
      <c r="AU179" s="9"/>
      <c r="AV179" s="9"/>
      <c r="AW179" s="9"/>
      <c r="AX179" s="9"/>
      <c r="AY179" s="9"/>
      <c r="AZ179" s="9"/>
      <c r="BA179" s="9"/>
      <c r="BB179" s="9"/>
      <c r="BC179" s="9"/>
    </row>
    <row r="180" spans="1:55" s="4" customFormat="1" x14ac:dyDescent="0.3">
      <c r="A180" s="1076"/>
      <c r="B180" s="774" t="s">
        <v>3</v>
      </c>
      <c r="C180" s="2" t="s">
        <v>388</v>
      </c>
      <c r="D180" s="882">
        <v>121000</v>
      </c>
      <c r="E180" s="882"/>
      <c r="F180" s="74">
        <v>121000</v>
      </c>
      <c r="G180" s="73">
        <f>+'F1,F2,F3,F4 (Desglose)'!H62</f>
        <v>5500</v>
      </c>
      <c r="H180" s="73">
        <f>+'F1,F2,F3,F4 (Desglose)'!I62</f>
        <v>5500</v>
      </c>
      <c r="I180" s="73">
        <f>+'F1,F2,F3,F4 (Desglose)'!J62</f>
        <v>5500</v>
      </c>
      <c r="J180" s="73">
        <f>+'F1,F2,F3,F4 (Desglose)'!K62</f>
        <v>5500</v>
      </c>
      <c r="K180" s="73">
        <f>+'F1,F2,F3,F4 (Desglose)'!L62</f>
        <v>5500</v>
      </c>
      <c r="L180" s="73">
        <f>+'F1,F2,F3,F4 (Desglose)'!M62</f>
        <v>5500</v>
      </c>
      <c r="M180" s="73">
        <f>+'F1,F2,F3,F4 (Desglose)'!N62</f>
        <v>5500</v>
      </c>
      <c r="N180" s="73">
        <f>+'F1,F2,F3,F4 (Desglose)'!O62</f>
        <v>5500</v>
      </c>
      <c r="O180" s="73">
        <f>+'F1,F2,F3,F4 (Desglose)'!P62</f>
        <v>5500</v>
      </c>
      <c r="P180" s="73">
        <f>+'F1,F2,F3,F4 (Desglose)'!Q62</f>
        <v>5500</v>
      </c>
      <c r="Q180" s="73">
        <f>+'F1,F2,F3,F4 (Desglose)'!R62</f>
        <v>5500</v>
      </c>
      <c r="R180" s="81">
        <f>SUM(G180:Q180)</f>
        <v>60500</v>
      </c>
      <c r="S180" s="81">
        <f>+'F1,F2,F3,F4 (Desglose)'!T62</f>
        <v>5500</v>
      </c>
      <c r="T180" s="81">
        <f>+'F1,F2,F3,F4 (Desglose)'!U62</f>
        <v>5500</v>
      </c>
      <c r="U180" s="81">
        <f>+'F1,F2,F3,F4 (Desglose)'!V62</f>
        <v>5500</v>
      </c>
      <c r="V180" s="81">
        <f>+'F1,F2,F3,F4 (Desglose)'!W62</f>
        <v>5500</v>
      </c>
      <c r="W180" s="81">
        <f>+'F1,F2,F3,F4 (Desglose)'!X62</f>
        <v>5500</v>
      </c>
      <c r="X180" s="81">
        <f>+'F1,F2,F3,F4 (Desglose)'!Y62</f>
        <v>5500</v>
      </c>
      <c r="Y180" s="81">
        <f>+'F1,F2,F3,F4 (Desglose)'!Z62</f>
        <v>5500</v>
      </c>
      <c r="Z180" s="81">
        <f>+'F1,F2,F3,F4 (Desglose)'!AA62</f>
        <v>5500</v>
      </c>
      <c r="AA180" s="81">
        <f>+'F1,F2,F3,F4 (Desglose)'!AB62</f>
        <v>5500</v>
      </c>
      <c r="AB180" s="81">
        <f>+'F1,F2,F3,F4 (Desglose)'!AC62</f>
        <v>5500</v>
      </c>
      <c r="AC180" s="81">
        <f>+'F1,F2,F3,F4 (Desglose)'!AD62</f>
        <v>5500</v>
      </c>
      <c r="AD180" s="81">
        <f>SUM(S180:AC180)</f>
        <v>60500</v>
      </c>
      <c r="AE180" s="9"/>
      <c r="AF180" s="9"/>
      <c r="AG180" s="9"/>
      <c r="AH180" s="9"/>
      <c r="AI180" s="9"/>
      <c r="AJ180" s="9"/>
      <c r="AK180" s="9"/>
      <c r="AL180" s="9"/>
      <c r="AM180" s="9"/>
      <c r="AN180" s="9"/>
      <c r="AO180" s="9"/>
      <c r="AP180" s="9"/>
      <c r="AQ180" s="9"/>
      <c r="AR180" s="9"/>
      <c r="AS180" s="9"/>
      <c r="AT180" s="9"/>
      <c r="AU180" s="9"/>
      <c r="AV180" s="9"/>
      <c r="AW180" s="9"/>
      <c r="AX180" s="9"/>
      <c r="AY180" s="9"/>
      <c r="AZ180" s="9"/>
      <c r="BA180" s="9"/>
      <c r="BB180" s="9"/>
      <c r="BC180" s="9"/>
    </row>
    <row r="181" spans="1:55" s="4" customFormat="1" x14ac:dyDescent="0.3">
      <c r="A181" s="1077"/>
      <c r="B181" s="774" t="s">
        <v>4</v>
      </c>
      <c r="C181" s="2" t="s">
        <v>80</v>
      </c>
      <c r="D181" s="882">
        <v>462000</v>
      </c>
      <c r="E181" s="882"/>
      <c r="F181" s="74">
        <v>462000</v>
      </c>
      <c r="G181" s="73">
        <f>+'F1,F2,F3,F4 (Desglose)'!H63</f>
        <v>21000</v>
      </c>
      <c r="H181" s="73">
        <f>+'F1,F2,F3,F4 (Desglose)'!I63</f>
        <v>21000</v>
      </c>
      <c r="I181" s="73">
        <f>+'F1,F2,F3,F4 (Desglose)'!J63</f>
        <v>21000</v>
      </c>
      <c r="J181" s="73">
        <f>+'F1,F2,F3,F4 (Desglose)'!K63</f>
        <v>21000</v>
      </c>
      <c r="K181" s="73">
        <f>+'F1,F2,F3,F4 (Desglose)'!L63</f>
        <v>21000</v>
      </c>
      <c r="L181" s="73">
        <f>+'F1,F2,F3,F4 (Desglose)'!M63</f>
        <v>21000</v>
      </c>
      <c r="M181" s="73">
        <f>+'F1,F2,F3,F4 (Desglose)'!N63</f>
        <v>21000</v>
      </c>
      <c r="N181" s="73">
        <f>+'F1,F2,F3,F4 (Desglose)'!O63</f>
        <v>21000</v>
      </c>
      <c r="O181" s="73">
        <f>+'F1,F2,F3,F4 (Desglose)'!P63</f>
        <v>21000</v>
      </c>
      <c r="P181" s="73">
        <f>+'F1,F2,F3,F4 (Desglose)'!Q63</f>
        <v>21000</v>
      </c>
      <c r="Q181" s="73">
        <f>+'F1,F2,F3,F4 (Desglose)'!R63</f>
        <v>21000</v>
      </c>
      <c r="R181" s="81">
        <f>SUM(G181:Q181)</f>
        <v>231000</v>
      </c>
      <c r="S181" s="81">
        <f>+'F1,F2,F3,F4 (Desglose)'!T63</f>
        <v>21000</v>
      </c>
      <c r="T181" s="81">
        <f>+'F1,F2,F3,F4 (Desglose)'!U63</f>
        <v>21000</v>
      </c>
      <c r="U181" s="81">
        <f>+'F1,F2,F3,F4 (Desglose)'!V63</f>
        <v>21000</v>
      </c>
      <c r="V181" s="81">
        <f>+'F1,F2,F3,F4 (Desglose)'!W63</f>
        <v>21000</v>
      </c>
      <c r="W181" s="81">
        <f>+'F1,F2,F3,F4 (Desglose)'!X63</f>
        <v>21000</v>
      </c>
      <c r="X181" s="81">
        <f>+'F1,F2,F3,F4 (Desglose)'!Y63</f>
        <v>21000</v>
      </c>
      <c r="Y181" s="81">
        <f>+'F1,F2,F3,F4 (Desglose)'!Z63</f>
        <v>21000</v>
      </c>
      <c r="Z181" s="81">
        <f>+'F1,F2,F3,F4 (Desglose)'!AA63</f>
        <v>21000</v>
      </c>
      <c r="AA181" s="81">
        <f>+'F1,F2,F3,F4 (Desglose)'!AB63</f>
        <v>21000</v>
      </c>
      <c r="AB181" s="81">
        <f>+'F1,F2,F3,F4 (Desglose)'!AC63</f>
        <v>21000</v>
      </c>
      <c r="AC181" s="81">
        <f>+'F1,F2,F3,F4 (Desglose)'!AD63</f>
        <v>21000</v>
      </c>
      <c r="AD181" s="81">
        <f>SUM(S181:AC181)</f>
        <v>231000</v>
      </c>
      <c r="AE181" s="9"/>
      <c r="AF181" s="9"/>
      <c r="AG181" s="9"/>
      <c r="AH181" s="9"/>
      <c r="AI181" s="9"/>
      <c r="AJ181" s="9"/>
      <c r="AK181" s="9"/>
      <c r="AL181" s="9"/>
      <c r="AM181" s="9"/>
      <c r="AN181" s="9"/>
      <c r="AO181" s="9"/>
      <c r="AP181" s="9"/>
      <c r="AQ181" s="9"/>
      <c r="AR181" s="9"/>
      <c r="AS181" s="9"/>
      <c r="AT181" s="9"/>
      <c r="AU181" s="9"/>
      <c r="AV181" s="9"/>
      <c r="AW181" s="9"/>
      <c r="AX181" s="9"/>
      <c r="AY181" s="9"/>
      <c r="AZ181" s="9"/>
      <c r="BA181" s="9"/>
      <c r="BB181" s="9"/>
      <c r="BC181" s="9"/>
    </row>
    <row r="182" spans="1:55" x14ac:dyDescent="0.3">
      <c r="A182" s="1094" t="s">
        <v>6</v>
      </c>
      <c r="B182" s="43"/>
      <c r="C182" s="106"/>
      <c r="D182" s="75">
        <v>845048.75</v>
      </c>
      <c r="E182" s="75">
        <v>0</v>
      </c>
      <c r="F182" s="75">
        <v>845048.75</v>
      </c>
      <c r="G182" s="75">
        <f>SUM(G183:G187)</f>
        <v>31877.059999999998</v>
      </c>
      <c r="H182" s="75">
        <f t="shared" ref="H182:AD182" si="22">SUM(H183:H187)</f>
        <v>32516.690000000002</v>
      </c>
      <c r="I182" s="75">
        <f t="shared" si="22"/>
        <v>36474</v>
      </c>
      <c r="J182" s="75">
        <f t="shared" si="22"/>
        <v>36474</v>
      </c>
      <c r="K182" s="75">
        <f t="shared" si="22"/>
        <v>36474</v>
      </c>
      <c r="L182" s="75">
        <f t="shared" si="22"/>
        <v>36474</v>
      </c>
      <c r="M182" s="75">
        <f t="shared" si="22"/>
        <v>36774</v>
      </c>
      <c r="N182" s="75">
        <f t="shared" si="22"/>
        <v>39774</v>
      </c>
      <c r="O182" s="75">
        <f t="shared" si="22"/>
        <v>39774</v>
      </c>
      <c r="P182" s="75">
        <f t="shared" si="22"/>
        <v>39774</v>
      </c>
      <c r="Q182" s="75">
        <f t="shared" si="22"/>
        <v>39774</v>
      </c>
      <c r="R182" s="75">
        <f t="shared" si="22"/>
        <v>406159.75</v>
      </c>
      <c r="S182" s="75">
        <f t="shared" si="22"/>
        <v>39899</v>
      </c>
      <c r="T182" s="75">
        <f t="shared" si="22"/>
        <v>39899</v>
      </c>
      <c r="U182" s="75">
        <f t="shared" si="22"/>
        <v>39899</v>
      </c>
      <c r="V182" s="75">
        <f t="shared" si="22"/>
        <v>39899</v>
      </c>
      <c r="W182" s="75">
        <f t="shared" si="22"/>
        <v>39899</v>
      </c>
      <c r="X182" s="75">
        <f t="shared" si="22"/>
        <v>39899</v>
      </c>
      <c r="Y182" s="75">
        <f t="shared" si="22"/>
        <v>39899</v>
      </c>
      <c r="Z182" s="75">
        <f t="shared" si="22"/>
        <v>39899</v>
      </c>
      <c r="AA182" s="75">
        <f t="shared" si="22"/>
        <v>39899</v>
      </c>
      <c r="AB182" s="75">
        <f t="shared" si="22"/>
        <v>39899</v>
      </c>
      <c r="AC182" s="75">
        <f t="shared" si="22"/>
        <v>39899</v>
      </c>
      <c r="AD182" s="75">
        <f t="shared" si="22"/>
        <v>438889</v>
      </c>
    </row>
    <row r="183" spans="1:55" x14ac:dyDescent="0.3">
      <c r="A183" s="1094"/>
      <c r="B183" s="39" t="s">
        <v>2</v>
      </c>
      <c r="C183" s="104" t="s">
        <v>86</v>
      </c>
      <c r="D183" s="882">
        <v>96745.75</v>
      </c>
      <c r="E183" s="882"/>
      <c r="F183" s="74">
        <v>96745.75</v>
      </c>
      <c r="G183" s="73">
        <f>+'F1,F2,F3,F4 (Desglose)'!H65</f>
        <v>3145.75</v>
      </c>
      <c r="H183" s="73">
        <f>+'F1,F2,F3,F4 (Desglose)'!I65</f>
        <v>3700</v>
      </c>
      <c r="I183" s="73">
        <f>+'F1,F2,F3,F4 (Desglose)'!J65</f>
        <v>4200</v>
      </c>
      <c r="J183" s="73">
        <f>+'F1,F2,F3,F4 (Desglose)'!K65</f>
        <v>4200</v>
      </c>
      <c r="K183" s="73">
        <f>+'F1,F2,F3,F4 (Desglose)'!L65</f>
        <v>4200</v>
      </c>
      <c r="L183" s="73">
        <f>+'F1,F2,F3,F4 (Desglose)'!M65</f>
        <v>4200</v>
      </c>
      <c r="M183" s="73">
        <f>+'F1,F2,F3,F4 (Desglose)'!N65</f>
        <v>4500</v>
      </c>
      <c r="N183" s="73">
        <f>+'F1,F2,F3,F4 (Desglose)'!O65</f>
        <v>4500</v>
      </c>
      <c r="O183" s="73">
        <f>+'F1,F2,F3,F4 (Desglose)'!P65</f>
        <v>4500</v>
      </c>
      <c r="P183" s="73">
        <f>+'F1,F2,F3,F4 (Desglose)'!Q65</f>
        <v>4500</v>
      </c>
      <c r="Q183" s="73">
        <f>+'F1,F2,F3,F4 (Desglose)'!R65</f>
        <v>4500</v>
      </c>
      <c r="R183" s="81">
        <f>SUM(G183:Q183)</f>
        <v>46145.75</v>
      </c>
      <c r="S183" s="81">
        <f>+'F1,F2,F3,F4 (Desglose)'!T65</f>
        <v>4600</v>
      </c>
      <c r="T183" s="81">
        <f>+'F1,F2,F3,F4 (Desglose)'!U65</f>
        <v>4600</v>
      </c>
      <c r="U183" s="81">
        <f>+'F1,F2,F3,F4 (Desglose)'!V65</f>
        <v>4600</v>
      </c>
      <c r="V183" s="81">
        <f>+'F1,F2,F3,F4 (Desglose)'!W65</f>
        <v>4600</v>
      </c>
      <c r="W183" s="81">
        <f>+'F1,F2,F3,F4 (Desglose)'!X65</f>
        <v>4600</v>
      </c>
      <c r="X183" s="81">
        <f>+'F1,F2,F3,F4 (Desglose)'!Y65</f>
        <v>4600</v>
      </c>
      <c r="Y183" s="81">
        <f>+'F1,F2,F3,F4 (Desglose)'!Z65</f>
        <v>4600</v>
      </c>
      <c r="Z183" s="81">
        <f>+'F1,F2,F3,F4 (Desglose)'!AA65</f>
        <v>4600</v>
      </c>
      <c r="AA183" s="81">
        <f>+'F1,F2,F3,F4 (Desglose)'!AB65</f>
        <v>4600</v>
      </c>
      <c r="AB183" s="81">
        <f>+'F1,F2,F3,F4 (Desglose)'!AC65</f>
        <v>4600</v>
      </c>
      <c r="AC183" s="81">
        <f>+'F1,F2,F3,F4 (Desglose)'!AD65</f>
        <v>4600</v>
      </c>
      <c r="AD183" s="81">
        <f>SUM(S183:AC183)</f>
        <v>50600</v>
      </c>
    </row>
    <row r="184" spans="1:55" x14ac:dyDescent="0.3">
      <c r="A184" s="1094"/>
      <c r="B184" s="39" t="s">
        <v>3</v>
      </c>
      <c r="C184" s="104" t="s">
        <v>7</v>
      </c>
      <c r="D184" s="882">
        <v>25800</v>
      </c>
      <c r="E184" s="882"/>
      <c r="F184" s="74">
        <v>25800</v>
      </c>
      <c r="G184" s="73">
        <f>+'F1,F2,F3,F4 (Desglose)'!H69</f>
        <v>857.31</v>
      </c>
      <c r="H184" s="73">
        <f>+'F1,F2,F3,F4 (Desglose)'!I69</f>
        <v>942.69</v>
      </c>
      <c r="I184" s="73">
        <f>+'F1,F2,F3,F4 (Desglose)'!J69</f>
        <v>1200</v>
      </c>
      <c r="J184" s="73">
        <f>+'F1,F2,F3,F4 (Desglose)'!K69</f>
        <v>1200</v>
      </c>
      <c r="K184" s="73">
        <f>+'F1,F2,F3,F4 (Desglose)'!L69</f>
        <v>1200</v>
      </c>
      <c r="L184" s="73">
        <f>+'F1,F2,F3,F4 (Desglose)'!M69</f>
        <v>1200</v>
      </c>
      <c r="M184" s="73">
        <f>+'F1,F2,F3,F4 (Desglose)'!N69</f>
        <v>1200</v>
      </c>
      <c r="N184" s="73">
        <f>+'F1,F2,F3,F4 (Desglose)'!O69</f>
        <v>1200</v>
      </c>
      <c r="O184" s="73">
        <f>+'F1,F2,F3,F4 (Desglose)'!P69</f>
        <v>1200</v>
      </c>
      <c r="P184" s="73">
        <f>+'F1,F2,F3,F4 (Desglose)'!Q69</f>
        <v>1200</v>
      </c>
      <c r="Q184" s="73">
        <f>+'F1,F2,F3,F4 (Desglose)'!R69</f>
        <v>1200</v>
      </c>
      <c r="R184" s="81">
        <f>SUM(G184:Q184)</f>
        <v>12600</v>
      </c>
      <c r="S184" s="81">
        <f>+'F1,F2,F3,F4 (Desglose)'!T69</f>
        <v>1200</v>
      </c>
      <c r="T184" s="81">
        <f>+'F1,F2,F3,F4 (Desglose)'!U69</f>
        <v>1200</v>
      </c>
      <c r="U184" s="81">
        <f>+'F1,F2,F3,F4 (Desglose)'!V69</f>
        <v>1200</v>
      </c>
      <c r="V184" s="81">
        <f>+'F1,F2,F3,F4 (Desglose)'!W69</f>
        <v>1200</v>
      </c>
      <c r="W184" s="81">
        <f>+'F1,F2,F3,F4 (Desglose)'!X69</f>
        <v>1200</v>
      </c>
      <c r="X184" s="81">
        <f>+'F1,F2,F3,F4 (Desglose)'!Y69</f>
        <v>1200</v>
      </c>
      <c r="Y184" s="81">
        <f>+'F1,F2,F3,F4 (Desglose)'!Z69</f>
        <v>1200</v>
      </c>
      <c r="Z184" s="81">
        <f>+'F1,F2,F3,F4 (Desglose)'!AA69</f>
        <v>1200</v>
      </c>
      <c r="AA184" s="81">
        <f>+'F1,F2,F3,F4 (Desglose)'!AB69</f>
        <v>1200</v>
      </c>
      <c r="AB184" s="81">
        <f>+'F1,F2,F3,F4 (Desglose)'!AC69</f>
        <v>1200</v>
      </c>
      <c r="AC184" s="81">
        <f>+'F1,F2,F3,F4 (Desglose)'!AD69</f>
        <v>1200</v>
      </c>
      <c r="AD184" s="81">
        <f>SUM(S184:AC184)</f>
        <v>13200</v>
      </c>
    </row>
    <row r="185" spans="1:55" x14ac:dyDescent="0.3">
      <c r="A185" s="1094"/>
      <c r="B185" s="39" t="s">
        <v>4</v>
      </c>
      <c r="C185" s="104" t="s">
        <v>87</v>
      </c>
      <c r="D185" s="882">
        <v>1925</v>
      </c>
      <c r="E185" s="882"/>
      <c r="F185" s="74">
        <v>1925</v>
      </c>
      <c r="G185" s="73">
        <f>+'F1,F2,F3,F4 (Desglose)'!H73</f>
        <v>75</v>
      </c>
      <c r="H185" s="73">
        <f>+'F1,F2,F3,F4 (Desglose)'!I73</f>
        <v>75</v>
      </c>
      <c r="I185" s="73">
        <f>+'F1,F2,F3,F4 (Desglose)'!J73</f>
        <v>75</v>
      </c>
      <c r="J185" s="73">
        <f>+'F1,F2,F3,F4 (Desglose)'!K73</f>
        <v>75</v>
      </c>
      <c r="K185" s="73">
        <f>+'F1,F2,F3,F4 (Desglose)'!L73</f>
        <v>75</v>
      </c>
      <c r="L185" s="73">
        <f>+'F1,F2,F3,F4 (Desglose)'!M73</f>
        <v>75</v>
      </c>
      <c r="M185" s="73">
        <f>+'F1,F2,F3,F4 (Desglose)'!N73</f>
        <v>75</v>
      </c>
      <c r="N185" s="73">
        <f>+'F1,F2,F3,F4 (Desglose)'!O73</f>
        <v>75</v>
      </c>
      <c r="O185" s="73">
        <f>+'F1,F2,F3,F4 (Desglose)'!P73</f>
        <v>75</v>
      </c>
      <c r="P185" s="73">
        <f>+'F1,F2,F3,F4 (Desglose)'!Q73</f>
        <v>75</v>
      </c>
      <c r="Q185" s="73">
        <f>+'F1,F2,F3,F4 (Desglose)'!R73</f>
        <v>75</v>
      </c>
      <c r="R185" s="81">
        <f>SUM(G185:Q185)</f>
        <v>825</v>
      </c>
      <c r="S185" s="81">
        <f>+'F1,F2,F3,F4 (Desglose)'!T73</f>
        <v>100</v>
      </c>
      <c r="T185" s="81">
        <f>+'F1,F2,F3,F4 (Desglose)'!U73</f>
        <v>100</v>
      </c>
      <c r="U185" s="81">
        <f>+'F1,F2,F3,F4 (Desglose)'!V73</f>
        <v>100</v>
      </c>
      <c r="V185" s="81">
        <f>+'F1,F2,F3,F4 (Desglose)'!W73</f>
        <v>100</v>
      </c>
      <c r="W185" s="81">
        <f>+'F1,F2,F3,F4 (Desglose)'!X73</f>
        <v>100</v>
      </c>
      <c r="X185" s="81">
        <f>+'F1,F2,F3,F4 (Desglose)'!Y73</f>
        <v>100</v>
      </c>
      <c r="Y185" s="81">
        <f>+'F1,F2,F3,F4 (Desglose)'!Z73</f>
        <v>100</v>
      </c>
      <c r="Z185" s="81">
        <f>+'F1,F2,F3,F4 (Desglose)'!AA73</f>
        <v>100</v>
      </c>
      <c r="AA185" s="81">
        <f>+'F1,F2,F3,F4 (Desglose)'!AB73</f>
        <v>100</v>
      </c>
      <c r="AB185" s="81">
        <f>+'F1,F2,F3,F4 (Desglose)'!AC73</f>
        <v>100</v>
      </c>
      <c r="AC185" s="81">
        <f>+'F1,F2,F3,F4 (Desglose)'!AD73</f>
        <v>100</v>
      </c>
      <c r="AD185" s="81">
        <f>SUM(S185:AC185)</f>
        <v>1100</v>
      </c>
    </row>
    <row r="186" spans="1:55" x14ac:dyDescent="0.3">
      <c r="A186" s="1094"/>
      <c r="B186" s="39" t="s">
        <v>8</v>
      </c>
      <c r="C186" s="104" t="s">
        <v>83</v>
      </c>
      <c r="D186" s="882">
        <v>81578</v>
      </c>
      <c r="E186" s="882"/>
      <c r="F186" s="74">
        <v>81578</v>
      </c>
      <c r="G186" s="73">
        <f>+'F1,F2,F3,F4 (Desglose)'!H77</f>
        <v>799</v>
      </c>
      <c r="H186" s="73">
        <f>+'F1,F2,F3,F4 (Desglose)'!I77</f>
        <v>799</v>
      </c>
      <c r="I186" s="73">
        <f>+'F1,F2,F3,F4 (Desglose)'!J77</f>
        <v>3999</v>
      </c>
      <c r="J186" s="73">
        <f>+'F1,F2,F3,F4 (Desglose)'!K77</f>
        <v>3999</v>
      </c>
      <c r="K186" s="73">
        <f>+'F1,F2,F3,F4 (Desglose)'!L77</f>
        <v>3999</v>
      </c>
      <c r="L186" s="73">
        <f>+'F1,F2,F3,F4 (Desglose)'!M77</f>
        <v>3999</v>
      </c>
      <c r="M186" s="73">
        <f>+'F1,F2,F3,F4 (Desglose)'!N77</f>
        <v>3999</v>
      </c>
      <c r="N186" s="73">
        <f>+'F1,F2,F3,F4 (Desglose)'!O77</f>
        <v>3999</v>
      </c>
      <c r="O186" s="73">
        <f>+'F1,F2,F3,F4 (Desglose)'!P77</f>
        <v>3999</v>
      </c>
      <c r="P186" s="73">
        <f>+'F1,F2,F3,F4 (Desglose)'!Q77</f>
        <v>3999</v>
      </c>
      <c r="Q186" s="73">
        <f>+'F1,F2,F3,F4 (Desglose)'!R77</f>
        <v>3999</v>
      </c>
      <c r="R186" s="81">
        <f>SUM(G186:Q186)</f>
        <v>37589</v>
      </c>
      <c r="S186" s="81">
        <f>+'F1,F2,F3,F4 (Desglose)'!T77</f>
        <v>3999</v>
      </c>
      <c r="T186" s="81">
        <f>+'F1,F2,F3,F4 (Desglose)'!U77</f>
        <v>3999</v>
      </c>
      <c r="U186" s="81">
        <f>+'F1,F2,F3,F4 (Desglose)'!V77</f>
        <v>3999</v>
      </c>
      <c r="V186" s="81">
        <f>+'F1,F2,F3,F4 (Desglose)'!W77</f>
        <v>3999</v>
      </c>
      <c r="W186" s="81">
        <f>+'F1,F2,F3,F4 (Desglose)'!X77</f>
        <v>3999</v>
      </c>
      <c r="X186" s="81">
        <f>+'F1,F2,F3,F4 (Desglose)'!Y77</f>
        <v>3999</v>
      </c>
      <c r="Y186" s="81">
        <f>+'F1,F2,F3,F4 (Desglose)'!Z77</f>
        <v>3999</v>
      </c>
      <c r="Z186" s="81">
        <f>+'F1,F2,F3,F4 (Desglose)'!AA77</f>
        <v>3999</v>
      </c>
      <c r="AA186" s="81">
        <f>+'F1,F2,F3,F4 (Desglose)'!AB77</f>
        <v>3999</v>
      </c>
      <c r="AB186" s="81">
        <f>+'F1,F2,F3,F4 (Desglose)'!AC77</f>
        <v>3999</v>
      </c>
      <c r="AC186" s="81">
        <f>+'F1,F2,F3,F4 (Desglose)'!AD77</f>
        <v>3999</v>
      </c>
      <c r="AD186" s="81">
        <f>SUM(S186:AC186)</f>
        <v>43989</v>
      </c>
    </row>
    <row r="187" spans="1:55" x14ac:dyDescent="0.3">
      <c r="A187" s="1094"/>
      <c r="B187" s="39" t="s">
        <v>9</v>
      </c>
      <c r="C187" s="104" t="s">
        <v>20</v>
      </c>
      <c r="D187" s="882">
        <v>639000</v>
      </c>
      <c r="E187" s="882"/>
      <c r="F187" s="74">
        <v>639000</v>
      </c>
      <c r="G187" s="73">
        <f>+'F1,F2,F3,F4 (Desglose)'!H81</f>
        <v>27000</v>
      </c>
      <c r="H187" s="73">
        <f>+'F1,F2,F3,F4 (Desglose)'!I81</f>
        <v>27000</v>
      </c>
      <c r="I187" s="73">
        <f>+'F1,F2,F3,F4 (Desglose)'!J81</f>
        <v>27000</v>
      </c>
      <c r="J187" s="73">
        <f>+'F1,F2,F3,F4 (Desglose)'!K81</f>
        <v>27000</v>
      </c>
      <c r="K187" s="73">
        <f>+'F1,F2,F3,F4 (Desglose)'!L81</f>
        <v>27000</v>
      </c>
      <c r="L187" s="73">
        <f>+'F1,F2,F3,F4 (Desglose)'!M81</f>
        <v>27000</v>
      </c>
      <c r="M187" s="73">
        <f>+'F1,F2,F3,F4 (Desglose)'!N81</f>
        <v>27000</v>
      </c>
      <c r="N187" s="73">
        <f>+'F1,F2,F3,F4 (Desglose)'!O81</f>
        <v>30000</v>
      </c>
      <c r="O187" s="73">
        <f>+'F1,F2,F3,F4 (Desglose)'!P81</f>
        <v>30000</v>
      </c>
      <c r="P187" s="73">
        <f>+'F1,F2,F3,F4 (Desglose)'!Q81</f>
        <v>30000</v>
      </c>
      <c r="Q187" s="73">
        <f>+'F1,F2,F3,F4 (Desglose)'!R81</f>
        <v>30000</v>
      </c>
      <c r="R187" s="81">
        <f>SUM(G187:Q187)</f>
        <v>309000</v>
      </c>
      <c r="S187" s="81">
        <f>+'F1,F2,F3,F4 (Desglose)'!T81</f>
        <v>30000</v>
      </c>
      <c r="T187" s="81">
        <f>+'F1,F2,F3,F4 (Desglose)'!U81</f>
        <v>30000</v>
      </c>
      <c r="U187" s="81">
        <f>+'F1,F2,F3,F4 (Desglose)'!V81</f>
        <v>30000</v>
      </c>
      <c r="V187" s="81">
        <f>+'F1,F2,F3,F4 (Desglose)'!W81</f>
        <v>30000</v>
      </c>
      <c r="W187" s="81">
        <f>+'F1,F2,F3,F4 (Desglose)'!X81</f>
        <v>30000</v>
      </c>
      <c r="X187" s="81">
        <f>+'F1,F2,F3,F4 (Desglose)'!Y81</f>
        <v>30000</v>
      </c>
      <c r="Y187" s="81">
        <f>+'F1,F2,F3,F4 (Desglose)'!Z81</f>
        <v>30000</v>
      </c>
      <c r="Z187" s="81">
        <f>+'F1,F2,F3,F4 (Desglose)'!AA81</f>
        <v>30000</v>
      </c>
      <c r="AA187" s="81">
        <f>+'F1,F2,F3,F4 (Desglose)'!AB81</f>
        <v>30000</v>
      </c>
      <c r="AB187" s="81">
        <f>+'F1,F2,F3,F4 (Desglose)'!AC81</f>
        <v>30000</v>
      </c>
      <c r="AC187" s="81">
        <f>+'F1,F2,F3,F4 (Desglose)'!AD81</f>
        <v>30000</v>
      </c>
      <c r="AD187" s="81">
        <f>SUM(S187:AC187)</f>
        <v>330000</v>
      </c>
    </row>
    <row r="188" spans="1:55" x14ac:dyDescent="0.3">
      <c r="A188" s="1094" t="s">
        <v>21</v>
      </c>
      <c r="B188" s="43"/>
      <c r="C188" s="106"/>
      <c r="D188" s="75">
        <v>508529.2</v>
      </c>
      <c r="E188" s="75">
        <v>0</v>
      </c>
      <c r="F188" s="75">
        <v>508529.2</v>
      </c>
      <c r="G188" s="75">
        <f>SUM(G189:G193)</f>
        <v>13470</v>
      </c>
      <c r="H188" s="75">
        <f t="shared" ref="H188:AD188" si="23">SUM(H189:H193)</f>
        <v>18059.2</v>
      </c>
      <c r="I188" s="75">
        <f t="shared" si="23"/>
        <v>32000</v>
      </c>
      <c r="J188" s="75">
        <f t="shared" si="23"/>
        <v>52000</v>
      </c>
      <c r="K188" s="75">
        <f t="shared" si="23"/>
        <v>12000</v>
      </c>
      <c r="L188" s="75">
        <f t="shared" si="23"/>
        <v>12000</v>
      </c>
      <c r="M188" s="75">
        <f t="shared" si="23"/>
        <v>12000</v>
      </c>
      <c r="N188" s="75">
        <f t="shared" si="23"/>
        <v>27000</v>
      </c>
      <c r="O188" s="75">
        <f t="shared" si="23"/>
        <v>26000</v>
      </c>
      <c r="P188" s="75">
        <f t="shared" si="23"/>
        <v>26000</v>
      </c>
      <c r="Q188" s="75">
        <f t="shared" si="23"/>
        <v>24000</v>
      </c>
      <c r="R188" s="75">
        <f t="shared" si="23"/>
        <v>254529.2</v>
      </c>
      <c r="S188" s="97">
        <f t="shared" si="23"/>
        <v>0</v>
      </c>
      <c r="T188" s="75">
        <f t="shared" si="23"/>
        <v>52000</v>
      </c>
      <c r="U188" s="75">
        <f t="shared" si="23"/>
        <v>17000</v>
      </c>
      <c r="V188" s="75">
        <f t="shared" si="23"/>
        <v>17000</v>
      </c>
      <c r="W188" s="75">
        <f t="shared" si="23"/>
        <v>29000</v>
      </c>
      <c r="X188" s="75">
        <f t="shared" si="23"/>
        <v>17000</v>
      </c>
      <c r="Y188" s="75">
        <f t="shared" si="23"/>
        <v>17000</v>
      </c>
      <c r="Z188" s="75">
        <f t="shared" si="23"/>
        <v>17000</v>
      </c>
      <c r="AA188" s="75">
        <f t="shared" si="23"/>
        <v>21000</v>
      </c>
      <c r="AB188" s="75">
        <f t="shared" si="23"/>
        <v>31000</v>
      </c>
      <c r="AC188" s="75">
        <f t="shared" si="23"/>
        <v>36000</v>
      </c>
      <c r="AD188" s="75">
        <f t="shared" si="23"/>
        <v>254000</v>
      </c>
    </row>
    <row r="189" spans="1:55" ht="35.25" customHeight="1" x14ac:dyDescent="0.3">
      <c r="A189" s="1094"/>
      <c r="B189" s="774" t="s">
        <v>2</v>
      </c>
      <c r="C189" s="2" t="s">
        <v>84</v>
      </c>
      <c r="D189" s="882">
        <v>178500</v>
      </c>
      <c r="E189" s="882"/>
      <c r="F189" s="74">
        <v>178500</v>
      </c>
      <c r="G189" s="73">
        <f>+'F1,F2,F3,F4 (Desglose)'!H86</f>
        <v>12500</v>
      </c>
      <c r="H189" s="73">
        <f>+'F1,F2,F3,F4 (Desglose)'!I86</f>
        <v>8000</v>
      </c>
      <c r="I189" s="73">
        <f>+'F1,F2,F3,F4 (Desglose)'!J86</f>
        <v>6000</v>
      </c>
      <c r="J189" s="73">
        <f>+'F1,F2,F3,F4 (Desglose)'!K86</f>
        <v>6000</v>
      </c>
      <c r="K189" s="73">
        <f>+'F1,F2,F3,F4 (Desglose)'!L86</f>
        <v>6000</v>
      </c>
      <c r="L189" s="73">
        <f>+'F1,F2,F3,F4 (Desglose)'!M86</f>
        <v>6000</v>
      </c>
      <c r="M189" s="73">
        <f>+'F1,F2,F3,F4 (Desglose)'!N86</f>
        <v>6000</v>
      </c>
      <c r="N189" s="73">
        <f>+'F1,F2,F3,F4 (Desglose)'!O86</f>
        <v>6000</v>
      </c>
      <c r="O189" s="73">
        <f>+'F1,F2,F3,F4 (Desglose)'!P86</f>
        <v>15000</v>
      </c>
      <c r="P189" s="73">
        <f>+'F1,F2,F3,F4 (Desglose)'!Q86</f>
        <v>15000</v>
      </c>
      <c r="Q189" s="73">
        <f>+'F1,F2,F3,F4 (Desglose)'!R86</f>
        <v>13000</v>
      </c>
      <c r="R189" s="81">
        <f>SUM(G189:Q189)</f>
        <v>99500</v>
      </c>
      <c r="S189" s="81">
        <f>+'F1,F2,F3,F4 (Desglose)'!T86</f>
        <v>0</v>
      </c>
      <c r="T189" s="81">
        <f>+'F1,F2,F3,F4 (Desglose)'!U86</f>
        <v>6000</v>
      </c>
      <c r="U189" s="81">
        <f>+'F1,F2,F3,F4 (Desglose)'!V86</f>
        <v>6000</v>
      </c>
      <c r="V189" s="81">
        <f>+'F1,F2,F3,F4 (Desglose)'!W86</f>
        <v>6000</v>
      </c>
      <c r="W189" s="81">
        <f>+'F1,F2,F3,F4 (Desglose)'!X86</f>
        <v>8000</v>
      </c>
      <c r="X189" s="81">
        <f>+'F1,F2,F3,F4 (Desglose)'!Y86</f>
        <v>6000</v>
      </c>
      <c r="Y189" s="81">
        <f>+'F1,F2,F3,F4 (Desglose)'!Z86</f>
        <v>6000</v>
      </c>
      <c r="Z189" s="81">
        <f>+'F1,F2,F3,F4 (Desglose)'!AA86</f>
        <v>6000</v>
      </c>
      <c r="AA189" s="81">
        <f>+'F1,F2,F3,F4 (Desglose)'!AB86</f>
        <v>10000</v>
      </c>
      <c r="AB189" s="81">
        <f>+'F1,F2,F3,F4 (Desglose)'!AC86</f>
        <v>20000</v>
      </c>
      <c r="AC189" s="81">
        <f>+'F1,F2,F3,F4 (Desglose)'!AD86</f>
        <v>5000</v>
      </c>
      <c r="AD189" s="81">
        <f>SUM(S189:AC189)</f>
        <v>79000</v>
      </c>
    </row>
    <row r="190" spans="1:55" ht="43.2" x14ac:dyDescent="0.3">
      <c r="A190" s="1094"/>
      <c r="B190" s="774" t="s">
        <v>3</v>
      </c>
      <c r="C190" s="2" t="s">
        <v>89</v>
      </c>
      <c r="D190" s="882">
        <v>204949.2</v>
      </c>
      <c r="E190" s="882"/>
      <c r="F190" s="74">
        <v>204949.2</v>
      </c>
      <c r="G190" s="73">
        <f>+'F1,F2,F3,F4 (Desglose)'!H87</f>
        <v>375</v>
      </c>
      <c r="H190" s="73">
        <f>+'F1,F2,F3,F4 (Desglose)'!I87</f>
        <v>9574.2000000000007</v>
      </c>
      <c r="I190" s="73">
        <f>+'F1,F2,F3,F4 (Desglose)'!J87</f>
        <v>10000</v>
      </c>
      <c r="J190" s="73">
        <f>+'F1,F2,F3,F4 (Desglose)'!K87</f>
        <v>10000</v>
      </c>
      <c r="K190" s="73">
        <f>+'F1,F2,F3,F4 (Desglose)'!L87</f>
        <v>5000</v>
      </c>
      <c r="L190" s="73">
        <f>+'F1,F2,F3,F4 (Desglose)'!M87</f>
        <v>5000</v>
      </c>
      <c r="M190" s="73">
        <f>+'F1,F2,F3,F4 (Desglose)'!N87</f>
        <v>5000</v>
      </c>
      <c r="N190" s="73">
        <f>+'F1,F2,F3,F4 (Desglose)'!O87</f>
        <v>10000</v>
      </c>
      <c r="O190" s="73">
        <f>+'F1,F2,F3,F4 (Desglose)'!P87</f>
        <v>10000</v>
      </c>
      <c r="P190" s="73">
        <f>+'F1,F2,F3,F4 (Desglose)'!Q87</f>
        <v>10000</v>
      </c>
      <c r="Q190" s="73">
        <f>+'F1,F2,F3,F4 (Desglose)'!R87</f>
        <v>10000</v>
      </c>
      <c r="R190" s="81">
        <f>SUM(G190:Q190)</f>
        <v>84949.2</v>
      </c>
      <c r="S190" s="81">
        <f>+'F1,F2,F3,F4 (Desglose)'!T87</f>
        <v>0</v>
      </c>
      <c r="T190" s="81">
        <f>+'F1,F2,F3,F4 (Desglose)'!U87</f>
        <v>10000</v>
      </c>
      <c r="U190" s="81">
        <f>+'F1,F2,F3,F4 (Desglose)'!V87</f>
        <v>10000</v>
      </c>
      <c r="V190" s="81">
        <f>+'F1,F2,F3,F4 (Desglose)'!W87</f>
        <v>10000</v>
      </c>
      <c r="W190" s="81">
        <f>+'F1,F2,F3,F4 (Desglose)'!X87</f>
        <v>10000</v>
      </c>
      <c r="X190" s="81">
        <f>+'F1,F2,F3,F4 (Desglose)'!Y87</f>
        <v>10000</v>
      </c>
      <c r="Y190" s="81">
        <f>+'F1,F2,F3,F4 (Desglose)'!Z87</f>
        <v>10000</v>
      </c>
      <c r="Z190" s="81">
        <f>+'F1,F2,F3,F4 (Desglose)'!AA87</f>
        <v>10000</v>
      </c>
      <c r="AA190" s="81">
        <f>+'F1,F2,F3,F4 (Desglose)'!AB87</f>
        <v>10000</v>
      </c>
      <c r="AB190" s="81">
        <f>+'F1,F2,F3,F4 (Desglose)'!AC87</f>
        <v>10000</v>
      </c>
      <c r="AC190" s="81">
        <f>+'F1,F2,F3,F4 (Desglose)'!AD87</f>
        <v>30000</v>
      </c>
      <c r="AD190" s="81">
        <f>SUM(S190:AC190)</f>
        <v>120000</v>
      </c>
    </row>
    <row r="191" spans="1:55" ht="33.75" customHeight="1" x14ac:dyDescent="0.3">
      <c r="A191" s="1094"/>
      <c r="B191" s="774" t="s">
        <v>4</v>
      </c>
      <c r="C191" s="46" t="s">
        <v>12</v>
      </c>
      <c r="D191" s="882">
        <v>20080</v>
      </c>
      <c r="E191" s="882"/>
      <c r="F191" s="74">
        <v>20080</v>
      </c>
      <c r="G191" s="73">
        <f>+'F1,F2,F3,F4 (Desglose)'!H88</f>
        <v>595</v>
      </c>
      <c r="H191" s="73">
        <f>+'F1,F2,F3,F4 (Desglose)'!I88</f>
        <v>485</v>
      </c>
      <c r="I191" s="73">
        <f>+'F1,F2,F3,F4 (Desglose)'!J88</f>
        <v>1000</v>
      </c>
      <c r="J191" s="73">
        <f>+'F1,F2,F3,F4 (Desglose)'!K88</f>
        <v>1000</v>
      </c>
      <c r="K191" s="73">
        <f>+'F1,F2,F3,F4 (Desglose)'!L88</f>
        <v>1000</v>
      </c>
      <c r="L191" s="73">
        <f>+'F1,F2,F3,F4 (Desglose)'!M88</f>
        <v>1000</v>
      </c>
      <c r="M191" s="73">
        <f>+'F1,F2,F3,F4 (Desglose)'!N88</f>
        <v>1000</v>
      </c>
      <c r="N191" s="73">
        <f>+'F1,F2,F3,F4 (Desglose)'!O88</f>
        <v>1000</v>
      </c>
      <c r="O191" s="73">
        <f>+'F1,F2,F3,F4 (Desglose)'!P88</f>
        <v>1000</v>
      </c>
      <c r="P191" s="73">
        <f>+'F1,F2,F3,F4 (Desglose)'!Q88</f>
        <v>1000</v>
      </c>
      <c r="Q191" s="73">
        <f>+'F1,F2,F3,F4 (Desglose)'!R88</f>
        <v>1000</v>
      </c>
      <c r="R191" s="81">
        <f>SUM(G191:Q191)</f>
        <v>10080</v>
      </c>
      <c r="S191" s="81">
        <f>+'F1,F2,F3,F4 (Desglose)'!T88</f>
        <v>0</v>
      </c>
      <c r="T191" s="81">
        <f>+'F1,F2,F3,F4 (Desglose)'!U88</f>
        <v>1000</v>
      </c>
      <c r="U191" s="81">
        <f>+'F1,F2,F3,F4 (Desglose)'!V88</f>
        <v>1000</v>
      </c>
      <c r="V191" s="81">
        <f>+'F1,F2,F3,F4 (Desglose)'!W88</f>
        <v>1000</v>
      </c>
      <c r="W191" s="81">
        <f>+'F1,F2,F3,F4 (Desglose)'!X88</f>
        <v>1000</v>
      </c>
      <c r="X191" s="81">
        <f>+'F1,F2,F3,F4 (Desglose)'!Y88</f>
        <v>1000</v>
      </c>
      <c r="Y191" s="81">
        <f>+'F1,F2,F3,F4 (Desglose)'!Z88</f>
        <v>1000</v>
      </c>
      <c r="Z191" s="81">
        <f>+'F1,F2,F3,F4 (Desglose)'!AA88</f>
        <v>1000</v>
      </c>
      <c r="AA191" s="81">
        <f>+'F1,F2,F3,F4 (Desglose)'!AB88</f>
        <v>1000</v>
      </c>
      <c r="AB191" s="81">
        <f>+'F1,F2,F3,F4 (Desglose)'!AC88</f>
        <v>1000</v>
      </c>
      <c r="AC191" s="81">
        <f>+'F1,F2,F3,F4 (Desglose)'!AD88</f>
        <v>1000</v>
      </c>
      <c r="AD191" s="81">
        <f>SUM(S191:AC191)</f>
        <v>10000</v>
      </c>
    </row>
    <row r="192" spans="1:55" ht="28.8" x14ac:dyDescent="0.3">
      <c r="A192" s="1094"/>
      <c r="B192" s="774" t="s">
        <v>8</v>
      </c>
      <c r="C192" s="46" t="s">
        <v>13</v>
      </c>
      <c r="D192" s="882">
        <v>65000</v>
      </c>
      <c r="E192" s="882"/>
      <c r="F192" s="74">
        <v>65000</v>
      </c>
      <c r="G192" s="73">
        <f>+'F1,F2,F3,F4 (Desglose)'!H89</f>
        <v>0</v>
      </c>
      <c r="H192" s="73">
        <f>+'F1,F2,F3,F4 (Desglose)'!I89</f>
        <v>0</v>
      </c>
      <c r="I192" s="73">
        <f>+'F1,F2,F3,F4 (Desglose)'!J89</f>
        <v>15000</v>
      </c>
      <c r="J192" s="73">
        <f>+'F1,F2,F3,F4 (Desglose)'!K89</f>
        <v>15000</v>
      </c>
      <c r="K192" s="73">
        <f>+'F1,F2,F3,F4 (Desglose)'!L89</f>
        <v>0</v>
      </c>
      <c r="L192" s="73">
        <f>+'F1,F2,F3,F4 (Desglose)'!M89</f>
        <v>0</v>
      </c>
      <c r="M192" s="73">
        <f>+'F1,F2,F3,F4 (Desglose)'!N89</f>
        <v>0</v>
      </c>
      <c r="N192" s="73">
        <f>+'F1,F2,F3,F4 (Desglose)'!O89</f>
        <v>10000</v>
      </c>
      <c r="O192" s="73">
        <f>+'F1,F2,F3,F4 (Desglose)'!P89</f>
        <v>0</v>
      </c>
      <c r="P192" s="73">
        <f>+'F1,F2,F3,F4 (Desglose)'!Q89</f>
        <v>0</v>
      </c>
      <c r="Q192" s="73">
        <f>+'F1,F2,F3,F4 (Desglose)'!R89</f>
        <v>0</v>
      </c>
      <c r="R192" s="81">
        <f>SUM(G192:Q192)</f>
        <v>40000</v>
      </c>
      <c r="S192" s="81">
        <f>+'F1,F2,F3,F4 (Desglose)'!T89</f>
        <v>0</v>
      </c>
      <c r="T192" s="81">
        <f>+'F1,F2,F3,F4 (Desglose)'!U89</f>
        <v>15000</v>
      </c>
      <c r="U192" s="81">
        <f>+'F1,F2,F3,F4 (Desglose)'!V89</f>
        <v>0</v>
      </c>
      <c r="V192" s="81">
        <f>+'F1,F2,F3,F4 (Desglose)'!W89</f>
        <v>0</v>
      </c>
      <c r="W192" s="81">
        <f>+'F1,F2,F3,F4 (Desglose)'!X89</f>
        <v>10000</v>
      </c>
      <c r="X192" s="81">
        <f>+'F1,F2,F3,F4 (Desglose)'!Y89</f>
        <v>0</v>
      </c>
      <c r="Y192" s="81">
        <f>+'F1,F2,F3,F4 (Desglose)'!Z89</f>
        <v>0</v>
      </c>
      <c r="Z192" s="81">
        <f>+'F1,F2,F3,F4 (Desglose)'!AA89</f>
        <v>0</v>
      </c>
      <c r="AA192" s="81">
        <f>+'F1,F2,F3,F4 (Desglose)'!AB89</f>
        <v>0</v>
      </c>
      <c r="AB192" s="81">
        <f>+'F1,F2,F3,F4 (Desglose)'!AC89</f>
        <v>0</v>
      </c>
      <c r="AC192" s="81">
        <f>+'F1,F2,F3,F4 (Desglose)'!AD89</f>
        <v>0</v>
      </c>
      <c r="AD192" s="81">
        <f>SUM(S192:AC192)</f>
        <v>25000</v>
      </c>
    </row>
    <row r="193" spans="1:55" ht="23.25" customHeight="1" x14ac:dyDescent="0.3">
      <c r="A193" s="1094"/>
      <c r="B193" s="774" t="s">
        <v>9</v>
      </c>
      <c r="C193" s="46" t="s">
        <v>15</v>
      </c>
      <c r="D193" s="882">
        <v>40000</v>
      </c>
      <c r="E193" s="882"/>
      <c r="F193" s="74">
        <v>40000</v>
      </c>
      <c r="G193" s="73">
        <f>+'F1,F2,F3,F4 (Desglose)'!H90</f>
        <v>0</v>
      </c>
      <c r="H193" s="73">
        <f>+'F1,F2,F3,F4 (Desglose)'!I90</f>
        <v>0</v>
      </c>
      <c r="I193" s="73">
        <f>+'F1,F2,F3,F4 (Desglose)'!J90</f>
        <v>0</v>
      </c>
      <c r="J193" s="73">
        <f>+'F1,F2,F3,F4 (Desglose)'!K90</f>
        <v>20000</v>
      </c>
      <c r="K193" s="73">
        <f>+'F1,F2,F3,F4 (Desglose)'!L90</f>
        <v>0</v>
      </c>
      <c r="L193" s="73">
        <f>+'F1,F2,F3,F4 (Desglose)'!M90</f>
        <v>0</v>
      </c>
      <c r="M193" s="73">
        <f>+'F1,F2,F3,F4 (Desglose)'!N90</f>
        <v>0</v>
      </c>
      <c r="N193" s="73">
        <f>+'F1,F2,F3,F4 (Desglose)'!O90</f>
        <v>0</v>
      </c>
      <c r="O193" s="73">
        <f>+'F1,F2,F3,F4 (Desglose)'!P90</f>
        <v>0</v>
      </c>
      <c r="P193" s="73">
        <f>+'F1,F2,F3,F4 (Desglose)'!Q90</f>
        <v>0</v>
      </c>
      <c r="Q193" s="73">
        <f>+'F1,F2,F3,F4 (Desglose)'!R90</f>
        <v>0</v>
      </c>
      <c r="R193" s="81">
        <f>SUM(G193:Q193)</f>
        <v>20000</v>
      </c>
      <c r="S193" s="81">
        <f>+'F1,F2,F3,F4 (Desglose)'!T90</f>
        <v>0</v>
      </c>
      <c r="T193" s="81">
        <f>+'F1,F2,F3,F4 (Desglose)'!U90</f>
        <v>20000</v>
      </c>
      <c r="U193" s="81">
        <f>+'F1,F2,F3,F4 (Desglose)'!V90</f>
        <v>0</v>
      </c>
      <c r="V193" s="81">
        <f>+'F1,F2,F3,F4 (Desglose)'!W90</f>
        <v>0</v>
      </c>
      <c r="W193" s="81">
        <f>+'F1,F2,F3,F4 (Desglose)'!X90</f>
        <v>0</v>
      </c>
      <c r="X193" s="81">
        <f>+'F1,F2,F3,F4 (Desglose)'!Y90</f>
        <v>0</v>
      </c>
      <c r="Y193" s="81">
        <f>+'F1,F2,F3,F4 (Desglose)'!Z90</f>
        <v>0</v>
      </c>
      <c r="Z193" s="81">
        <f>+'F1,F2,F3,F4 (Desglose)'!AA90</f>
        <v>0</v>
      </c>
      <c r="AA193" s="81">
        <f>+'F1,F2,F3,F4 (Desglose)'!AB90</f>
        <v>0</v>
      </c>
      <c r="AB193" s="81">
        <f>+'F1,F2,F3,F4 (Desglose)'!AC90</f>
        <v>0</v>
      </c>
      <c r="AC193" s="81">
        <f>+'F1,F2,F3,F4 (Desglose)'!AD90</f>
        <v>0</v>
      </c>
      <c r="AD193" s="81">
        <f>SUM(S193:AC193)</f>
        <v>20000</v>
      </c>
    </row>
    <row r="194" spans="1:55" s="67" customFormat="1" x14ac:dyDescent="0.3">
      <c r="A194" s="1094" t="s">
        <v>14</v>
      </c>
      <c r="B194" s="90"/>
      <c r="C194" s="107"/>
      <c r="D194" s="91">
        <v>178502.05</v>
      </c>
      <c r="E194" s="91">
        <v>0</v>
      </c>
      <c r="F194" s="91">
        <v>178502.05</v>
      </c>
      <c r="G194" s="77">
        <f>SUM(G195:G196)</f>
        <v>0</v>
      </c>
      <c r="H194" s="77">
        <f t="shared" ref="H194:AD194" si="24">SUM(H195:H196)</f>
        <v>5150</v>
      </c>
      <c r="I194" s="77">
        <f t="shared" si="24"/>
        <v>6000</v>
      </c>
      <c r="J194" s="77">
        <f t="shared" si="24"/>
        <v>6000</v>
      </c>
      <c r="K194" s="77">
        <f t="shared" si="24"/>
        <v>0</v>
      </c>
      <c r="L194" s="77">
        <f t="shared" si="24"/>
        <v>0</v>
      </c>
      <c r="M194" s="77">
        <f t="shared" si="24"/>
        <v>5000</v>
      </c>
      <c r="N194" s="77">
        <f t="shared" si="24"/>
        <v>15000</v>
      </c>
      <c r="O194" s="77">
        <f t="shared" si="24"/>
        <v>11000</v>
      </c>
      <c r="P194" s="77">
        <f t="shared" si="24"/>
        <v>27352.05</v>
      </c>
      <c r="Q194" s="77">
        <f t="shared" si="24"/>
        <v>0</v>
      </c>
      <c r="R194" s="77">
        <f t="shared" si="24"/>
        <v>75502.05</v>
      </c>
      <c r="S194" s="98">
        <f t="shared" si="24"/>
        <v>0</v>
      </c>
      <c r="T194" s="77">
        <f t="shared" si="24"/>
        <v>35000</v>
      </c>
      <c r="U194" s="77">
        <f t="shared" si="24"/>
        <v>5000</v>
      </c>
      <c r="V194" s="77">
        <f t="shared" si="24"/>
        <v>5000</v>
      </c>
      <c r="W194" s="77">
        <f t="shared" si="24"/>
        <v>5000</v>
      </c>
      <c r="X194" s="77">
        <f t="shared" si="24"/>
        <v>15000</v>
      </c>
      <c r="Y194" s="77">
        <f t="shared" si="24"/>
        <v>5000</v>
      </c>
      <c r="Z194" s="77">
        <f t="shared" si="24"/>
        <v>3000</v>
      </c>
      <c r="AA194" s="77">
        <f t="shared" si="24"/>
        <v>25000</v>
      </c>
      <c r="AB194" s="77">
        <f t="shared" si="24"/>
        <v>0</v>
      </c>
      <c r="AC194" s="77">
        <f t="shared" si="24"/>
        <v>5000</v>
      </c>
      <c r="AD194" s="77">
        <f t="shared" si="24"/>
        <v>103000</v>
      </c>
      <c r="AE194" s="663"/>
      <c r="AF194" s="663"/>
      <c r="AG194" s="663"/>
      <c r="AH194" s="663"/>
      <c r="AI194" s="663"/>
      <c r="AJ194" s="663"/>
      <c r="AK194" s="663"/>
      <c r="AL194" s="663"/>
      <c r="AM194" s="663"/>
      <c r="AN194" s="663"/>
      <c r="AO194" s="663"/>
      <c r="AP194" s="663"/>
      <c r="AQ194" s="663"/>
      <c r="AR194" s="663"/>
      <c r="AS194" s="663"/>
      <c r="AT194" s="663"/>
      <c r="AU194" s="663"/>
      <c r="AV194" s="663"/>
      <c r="AW194" s="663"/>
      <c r="AX194" s="663"/>
      <c r="AY194" s="663"/>
      <c r="AZ194" s="663"/>
      <c r="BA194" s="663"/>
      <c r="BB194" s="663"/>
      <c r="BC194" s="663"/>
    </row>
    <row r="195" spans="1:55" ht="33.75" customHeight="1" x14ac:dyDescent="0.3">
      <c r="A195" s="1094"/>
      <c r="B195" s="1" t="s">
        <v>2</v>
      </c>
      <c r="C195" s="2" t="s">
        <v>16</v>
      </c>
      <c r="D195" s="882">
        <v>80650</v>
      </c>
      <c r="E195" s="882"/>
      <c r="F195" s="74">
        <v>80650</v>
      </c>
      <c r="G195" s="78">
        <f>+'F1,F2,F3,F4 (Desglose)'!H92</f>
        <v>0</v>
      </c>
      <c r="H195" s="78">
        <f>+'F1,F2,F3,F4 (Desglose)'!I92</f>
        <v>1650</v>
      </c>
      <c r="I195" s="78">
        <f>+'F1,F2,F3,F4 (Desglose)'!J92</f>
        <v>3000</v>
      </c>
      <c r="J195" s="78">
        <f>+'F1,F2,F3,F4 (Desglose)'!K92</f>
        <v>3000</v>
      </c>
      <c r="K195" s="78">
        <f>+'F1,F2,F3,F4 (Desglose)'!L92</f>
        <v>0</v>
      </c>
      <c r="L195" s="78">
        <f>+'F1,F2,F3,F4 (Desglose)'!M92</f>
        <v>0</v>
      </c>
      <c r="M195" s="78">
        <f>+'F1,F2,F3,F4 (Desglose)'!N92</f>
        <v>5000</v>
      </c>
      <c r="N195" s="78">
        <f>+'F1,F2,F3,F4 (Desglose)'!O92</f>
        <v>5000</v>
      </c>
      <c r="O195" s="78">
        <f>+'F1,F2,F3,F4 (Desglose)'!P92</f>
        <v>5000</v>
      </c>
      <c r="P195" s="78">
        <f>+'F1,F2,F3,F4 (Desglose)'!Q92</f>
        <v>5000</v>
      </c>
      <c r="Q195" s="78">
        <f>+'F1,F2,F3,F4 (Desglose)'!R92</f>
        <v>0</v>
      </c>
      <c r="R195" s="880">
        <f>SUM(G195:Q195)</f>
        <v>27650</v>
      </c>
      <c r="S195" s="880">
        <f>+'F1,F2,F3,F4 (Desglose)'!T92</f>
        <v>0</v>
      </c>
      <c r="T195" s="880">
        <f>+'F1,F2,F3,F4 (Desglose)'!U92</f>
        <v>15000</v>
      </c>
      <c r="U195" s="880">
        <f>+'F1,F2,F3,F4 (Desglose)'!V92</f>
        <v>5000</v>
      </c>
      <c r="V195" s="880">
        <f>+'F1,F2,F3,F4 (Desglose)'!W92</f>
        <v>5000</v>
      </c>
      <c r="W195" s="880">
        <f>+'F1,F2,F3,F4 (Desglose)'!X92</f>
        <v>5000</v>
      </c>
      <c r="X195" s="880">
        <f>+'F1,F2,F3,F4 (Desglose)'!Y92</f>
        <v>5000</v>
      </c>
      <c r="Y195" s="880">
        <f>+'F1,F2,F3,F4 (Desglose)'!Z92</f>
        <v>5000</v>
      </c>
      <c r="Z195" s="880">
        <f>+'F1,F2,F3,F4 (Desglose)'!AA92</f>
        <v>3000</v>
      </c>
      <c r="AA195" s="880">
        <f>+'F1,F2,F3,F4 (Desglose)'!AB92</f>
        <v>5000</v>
      </c>
      <c r="AB195" s="880">
        <f>+'F1,F2,F3,F4 (Desglose)'!AC92</f>
        <v>0</v>
      </c>
      <c r="AC195" s="880">
        <f>+'F1,F2,F3,F4 (Desglose)'!AD92</f>
        <v>5000</v>
      </c>
      <c r="AD195" s="880">
        <f>SUM(S195:AC195)</f>
        <v>53000</v>
      </c>
    </row>
    <row r="196" spans="1:55" ht="58.5" customHeight="1" x14ac:dyDescent="0.3">
      <c r="A196" s="1094"/>
      <c r="B196" s="774" t="s">
        <v>3</v>
      </c>
      <c r="C196" s="46" t="s">
        <v>11</v>
      </c>
      <c r="D196" s="882">
        <v>97852.05</v>
      </c>
      <c r="E196" s="882"/>
      <c r="F196" s="74">
        <v>97852.05</v>
      </c>
      <c r="G196" s="78">
        <f>+'F1,F2,F3,F4 (Desglose)'!H93</f>
        <v>0</v>
      </c>
      <c r="H196" s="78">
        <f>+'F1,F2,F3,F4 (Desglose)'!I93</f>
        <v>3500</v>
      </c>
      <c r="I196" s="78">
        <f>+'F1,F2,F3,F4 (Desglose)'!J93</f>
        <v>3000</v>
      </c>
      <c r="J196" s="78">
        <f>+'F1,F2,F3,F4 (Desglose)'!K93</f>
        <v>3000</v>
      </c>
      <c r="K196" s="78">
        <f>+'F1,F2,F3,F4 (Desglose)'!L93</f>
        <v>0</v>
      </c>
      <c r="L196" s="78">
        <f>+'F1,F2,F3,F4 (Desglose)'!M93</f>
        <v>0</v>
      </c>
      <c r="M196" s="78">
        <f>+'F1,F2,F3,F4 (Desglose)'!N93</f>
        <v>0</v>
      </c>
      <c r="N196" s="78">
        <f>+'F1,F2,F3,F4 (Desglose)'!O93</f>
        <v>10000</v>
      </c>
      <c r="O196" s="78">
        <f>+'F1,F2,F3,F4 (Desglose)'!P93</f>
        <v>6000</v>
      </c>
      <c r="P196" s="78">
        <f>+'F1,F2,F3,F4 (Desglose)'!Q93</f>
        <v>22352.05</v>
      </c>
      <c r="Q196" s="78">
        <f>+'F1,F2,F3,F4 (Desglose)'!R93</f>
        <v>0</v>
      </c>
      <c r="R196" s="880">
        <f>SUM(G196:Q196)</f>
        <v>47852.05</v>
      </c>
      <c r="S196" s="880">
        <f>+'F1,F2,F3,F4 (Desglose)'!T93</f>
        <v>0</v>
      </c>
      <c r="T196" s="880">
        <f>+'F1,F2,F3,F4 (Desglose)'!U93</f>
        <v>20000</v>
      </c>
      <c r="U196" s="880">
        <f>+'F1,F2,F3,F4 (Desglose)'!V93</f>
        <v>0</v>
      </c>
      <c r="V196" s="880">
        <f>+'F1,F2,F3,F4 (Desglose)'!W93</f>
        <v>0</v>
      </c>
      <c r="W196" s="880">
        <f>+'F1,F2,F3,F4 (Desglose)'!X93</f>
        <v>0</v>
      </c>
      <c r="X196" s="880">
        <f>+'F1,F2,F3,F4 (Desglose)'!Y93</f>
        <v>10000</v>
      </c>
      <c r="Y196" s="880">
        <f>+'F1,F2,F3,F4 (Desglose)'!Z93</f>
        <v>0</v>
      </c>
      <c r="Z196" s="880">
        <f>+'F1,F2,F3,F4 (Desglose)'!AA93</f>
        <v>0</v>
      </c>
      <c r="AA196" s="880">
        <f>+'F1,F2,F3,F4 (Desglose)'!AB93</f>
        <v>20000</v>
      </c>
      <c r="AB196" s="880">
        <f>+'F1,F2,F3,F4 (Desglose)'!AC93</f>
        <v>0</v>
      </c>
      <c r="AC196" s="880">
        <f>+'F1,F2,F3,F4 (Desglose)'!AD93</f>
        <v>0</v>
      </c>
      <c r="AD196" s="880">
        <f>SUM(S196:AC196)</f>
        <v>50000</v>
      </c>
    </row>
    <row r="197" spans="1:55" x14ac:dyDescent="0.3">
      <c r="A197" s="1094" t="s">
        <v>19</v>
      </c>
      <c r="B197" s="43"/>
      <c r="C197" s="106"/>
      <c r="D197" s="75">
        <v>520560.6</v>
      </c>
      <c r="E197" s="75">
        <v>0</v>
      </c>
      <c r="F197" s="75">
        <v>520560.6</v>
      </c>
      <c r="G197" s="75">
        <f>SUM(G198:G201)</f>
        <v>720</v>
      </c>
      <c r="H197" s="75">
        <f t="shared" ref="H197:AD197" si="25">SUM(H198:H201)</f>
        <v>19530</v>
      </c>
      <c r="I197" s="75">
        <f t="shared" si="25"/>
        <v>94440.6</v>
      </c>
      <c r="J197" s="75">
        <f t="shared" si="25"/>
        <v>3000</v>
      </c>
      <c r="K197" s="75">
        <f t="shared" si="25"/>
        <v>3000</v>
      </c>
      <c r="L197" s="75">
        <f t="shared" si="25"/>
        <v>30000</v>
      </c>
      <c r="M197" s="75">
        <f t="shared" si="25"/>
        <v>3000</v>
      </c>
      <c r="N197" s="75">
        <f t="shared" si="25"/>
        <v>52927.09</v>
      </c>
      <c r="O197" s="75">
        <f t="shared" si="25"/>
        <v>3000</v>
      </c>
      <c r="P197" s="75">
        <f t="shared" si="25"/>
        <v>23000</v>
      </c>
      <c r="Q197" s="75">
        <f t="shared" si="25"/>
        <v>42542.91</v>
      </c>
      <c r="R197" s="75">
        <f t="shared" si="25"/>
        <v>275160.59999999998</v>
      </c>
      <c r="S197" s="75">
        <f t="shared" si="25"/>
        <v>0</v>
      </c>
      <c r="T197" s="75">
        <f t="shared" si="25"/>
        <v>50000</v>
      </c>
      <c r="U197" s="75">
        <f t="shared" si="25"/>
        <v>23000</v>
      </c>
      <c r="V197" s="75">
        <f t="shared" si="25"/>
        <v>3000</v>
      </c>
      <c r="W197" s="75">
        <f t="shared" si="25"/>
        <v>45400</v>
      </c>
      <c r="X197" s="75">
        <f t="shared" si="25"/>
        <v>3000</v>
      </c>
      <c r="Y197" s="75">
        <f t="shared" si="25"/>
        <v>23000</v>
      </c>
      <c r="Z197" s="75">
        <f t="shared" si="25"/>
        <v>39000</v>
      </c>
      <c r="AA197" s="75">
        <f t="shared" si="25"/>
        <v>3000</v>
      </c>
      <c r="AB197" s="75">
        <f t="shared" si="25"/>
        <v>55000</v>
      </c>
      <c r="AC197" s="75">
        <f t="shared" si="25"/>
        <v>1000</v>
      </c>
      <c r="AD197" s="75">
        <f t="shared" si="25"/>
        <v>245400</v>
      </c>
    </row>
    <row r="198" spans="1:55" ht="36.75" customHeight="1" x14ac:dyDescent="0.3">
      <c r="A198" s="1094"/>
      <c r="B198" s="1" t="s">
        <v>2</v>
      </c>
      <c r="C198" s="3" t="s">
        <v>17</v>
      </c>
      <c r="D198" s="882">
        <v>191840.6</v>
      </c>
      <c r="E198" s="882"/>
      <c r="F198" s="74">
        <v>191840.6</v>
      </c>
      <c r="G198" s="78">
        <f>+'F1,F2,F3,F4 (Desglose)'!H96</f>
        <v>0</v>
      </c>
      <c r="H198" s="78">
        <f>+'F1,F2,F3,F4 (Desglose)'!I96</f>
        <v>1530</v>
      </c>
      <c r="I198" s="78">
        <f>+'F1,F2,F3,F4 (Desglose)'!J96</f>
        <v>64440.6</v>
      </c>
      <c r="J198" s="78">
        <f>+'F1,F2,F3,F4 (Desglose)'!K96</f>
        <v>1000</v>
      </c>
      <c r="K198" s="78">
        <f>+'F1,F2,F3,F4 (Desglose)'!L96</f>
        <v>1000</v>
      </c>
      <c r="L198" s="78">
        <f>+'F1,F2,F3,F4 (Desglose)'!M96</f>
        <v>10000</v>
      </c>
      <c r="M198" s="78">
        <f>+'F1,F2,F3,F4 (Desglose)'!N96</f>
        <v>1000</v>
      </c>
      <c r="N198" s="78">
        <f>+'F1,F2,F3,F4 (Desglose)'!O96</f>
        <v>14470</v>
      </c>
      <c r="O198" s="78">
        <f>+'F1,F2,F3,F4 (Desglose)'!P96</f>
        <v>1000</v>
      </c>
      <c r="P198" s="78">
        <f>+'F1,F2,F3,F4 (Desglose)'!Q96</f>
        <v>1000</v>
      </c>
      <c r="Q198" s="78">
        <f>+'F1,F2,F3,F4 (Desglose)'!R96</f>
        <v>16000</v>
      </c>
      <c r="R198" s="880">
        <f>SUM(G198:Q198)</f>
        <v>111440.6</v>
      </c>
      <c r="S198" s="880">
        <f>+'F1,F2,F3,F4 (Desglose)'!T96</f>
        <v>0</v>
      </c>
      <c r="T198" s="880">
        <f>+'F1,F2,F3,F4 (Desglose)'!U96</f>
        <v>25000</v>
      </c>
      <c r="U198" s="880">
        <f>+'F1,F2,F3,F4 (Desglose)'!V96</f>
        <v>1000</v>
      </c>
      <c r="V198" s="880">
        <f>+'F1,F2,F3,F4 (Desglose)'!W96</f>
        <v>1000</v>
      </c>
      <c r="W198" s="880">
        <f>+'F1,F2,F3,F4 (Desglose)'!X96</f>
        <v>20400</v>
      </c>
      <c r="X198" s="880">
        <f>+'F1,F2,F3,F4 (Desglose)'!Y96</f>
        <v>1000</v>
      </c>
      <c r="Y198" s="880">
        <f>+'F1,F2,F3,F4 (Desglose)'!Z96</f>
        <v>1000</v>
      </c>
      <c r="Z198" s="880">
        <f>+'F1,F2,F3,F4 (Desglose)'!AA96</f>
        <v>15000</v>
      </c>
      <c r="AA198" s="880">
        <f>+'F1,F2,F3,F4 (Desglose)'!AB96</f>
        <v>1000</v>
      </c>
      <c r="AB198" s="880">
        <f>+'F1,F2,F3,F4 (Desglose)'!AC96</f>
        <v>15000</v>
      </c>
      <c r="AC198" s="880">
        <f>+'F1,F2,F3,F4 (Desglose)'!AD96</f>
        <v>0</v>
      </c>
      <c r="AD198" s="880">
        <f>SUM(S198:AC198)</f>
        <v>80400</v>
      </c>
    </row>
    <row r="199" spans="1:55" ht="39" customHeight="1" x14ac:dyDescent="0.3">
      <c r="A199" s="1094"/>
      <c r="B199" s="1" t="s">
        <v>3</v>
      </c>
      <c r="C199" s="2" t="s">
        <v>88</v>
      </c>
      <c r="D199" s="882">
        <v>119000</v>
      </c>
      <c r="E199" s="882"/>
      <c r="F199" s="74">
        <v>119000</v>
      </c>
      <c r="G199" s="78">
        <f>+'F1,F2,F3,F4 (Desglose)'!H97</f>
        <v>0</v>
      </c>
      <c r="H199" s="78">
        <f>+'F1,F2,F3,F4 (Desglose)'!I97</f>
        <v>0</v>
      </c>
      <c r="I199" s="78">
        <f>+'F1,F2,F3,F4 (Desglose)'!J97</f>
        <v>15000</v>
      </c>
      <c r="J199" s="78">
        <f>+'F1,F2,F3,F4 (Desglose)'!K97</f>
        <v>1000</v>
      </c>
      <c r="K199" s="78">
        <f>+'F1,F2,F3,F4 (Desglose)'!L97</f>
        <v>1000</v>
      </c>
      <c r="L199" s="78">
        <f>+'F1,F2,F3,F4 (Desglose)'!M97</f>
        <v>10000</v>
      </c>
      <c r="M199" s="78">
        <f>+'F1,F2,F3,F4 (Desglose)'!N97</f>
        <v>1000</v>
      </c>
      <c r="N199" s="78">
        <f>+'F1,F2,F3,F4 (Desglose)'!O97</f>
        <v>14000</v>
      </c>
      <c r="O199" s="78">
        <f>+'F1,F2,F3,F4 (Desglose)'!P97</f>
        <v>1000</v>
      </c>
      <c r="P199" s="78">
        <f>+'F1,F2,F3,F4 (Desglose)'!Q97</f>
        <v>1000</v>
      </c>
      <c r="Q199" s="78">
        <f>+'F1,F2,F3,F4 (Desglose)'!R97</f>
        <v>16000</v>
      </c>
      <c r="R199" s="880">
        <f>SUM(G199:Q199)</f>
        <v>60000</v>
      </c>
      <c r="S199" s="880">
        <f>+'F1,F2,F3,F4 (Desglose)'!T97</f>
        <v>0</v>
      </c>
      <c r="T199" s="880">
        <f>+'F1,F2,F3,F4 (Desglose)'!U97</f>
        <v>15000</v>
      </c>
      <c r="U199" s="880">
        <f>+'F1,F2,F3,F4 (Desglose)'!V97</f>
        <v>1000</v>
      </c>
      <c r="V199" s="880">
        <f>+'F1,F2,F3,F4 (Desglose)'!W97</f>
        <v>1000</v>
      </c>
      <c r="W199" s="880">
        <f>+'F1,F2,F3,F4 (Desglose)'!X97</f>
        <v>15000</v>
      </c>
      <c r="X199" s="880">
        <f>+'F1,F2,F3,F4 (Desglose)'!Y97</f>
        <v>1000</v>
      </c>
      <c r="Y199" s="880">
        <f>+'F1,F2,F3,F4 (Desglose)'!Z97</f>
        <v>1000</v>
      </c>
      <c r="Z199" s="880">
        <f>+'F1,F2,F3,F4 (Desglose)'!AA97</f>
        <v>12000</v>
      </c>
      <c r="AA199" s="880">
        <f>+'F1,F2,F3,F4 (Desglose)'!AB97</f>
        <v>1000</v>
      </c>
      <c r="AB199" s="880">
        <f>+'F1,F2,F3,F4 (Desglose)'!AC97</f>
        <v>12000</v>
      </c>
      <c r="AC199" s="880">
        <f>+'F1,F2,F3,F4 (Desglose)'!AD97</f>
        <v>0</v>
      </c>
      <c r="AD199" s="880">
        <f>SUM(S199:AC199)</f>
        <v>59000</v>
      </c>
    </row>
    <row r="200" spans="1:55" ht="71.25" customHeight="1" x14ac:dyDescent="0.3">
      <c r="A200" s="1094"/>
      <c r="B200" s="1" t="s">
        <v>4</v>
      </c>
      <c r="C200" s="3" t="s">
        <v>596</v>
      </c>
      <c r="D200" s="882">
        <v>95720</v>
      </c>
      <c r="E200" s="882"/>
      <c r="F200" s="74">
        <v>95720</v>
      </c>
      <c r="G200" s="78">
        <f>+'F1,F2,F3,F4 (Desglose)'!H98</f>
        <v>720</v>
      </c>
      <c r="H200" s="78">
        <f>+'F1,F2,F3,F4 (Desglose)'!I98</f>
        <v>0</v>
      </c>
      <c r="I200" s="78">
        <f>+'F1,F2,F3,F4 (Desglose)'!J98</f>
        <v>15000</v>
      </c>
      <c r="J200" s="78">
        <f>+'F1,F2,F3,F4 (Desglose)'!K98</f>
        <v>1000</v>
      </c>
      <c r="K200" s="78">
        <f>+'F1,F2,F3,F4 (Desglose)'!L98</f>
        <v>1000</v>
      </c>
      <c r="L200" s="78">
        <f>+'F1,F2,F3,F4 (Desglose)'!M98</f>
        <v>10000</v>
      </c>
      <c r="M200" s="78">
        <f>+'F1,F2,F3,F4 (Desglose)'!N98</f>
        <v>1000</v>
      </c>
      <c r="N200" s="78">
        <f>+'F1,F2,F3,F4 (Desglose)'!O98</f>
        <v>6457.09</v>
      </c>
      <c r="O200" s="78">
        <f>+'F1,F2,F3,F4 (Desglose)'!P98</f>
        <v>1000</v>
      </c>
      <c r="P200" s="78">
        <f>+'F1,F2,F3,F4 (Desglose)'!Q98</f>
        <v>1000</v>
      </c>
      <c r="Q200" s="78">
        <f>+'F1,F2,F3,F4 (Desglose)'!R98</f>
        <v>10542.91</v>
      </c>
      <c r="R200" s="880">
        <f>SUM(G200:Q200)</f>
        <v>47720</v>
      </c>
      <c r="S200" s="880">
        <f>+'F1,F2,F3,F4 (Desglose)'!T98</f>
        <v>0</v>
      </c>
      <c r="T200" s="880">
        <f>+'F1,F2,F3,F4 (Desglose)'!U98</f>
        <v>10000</v>
      </c>
      <c r="U200" s="880">
        <f>+'F1,F2,F3,F4 (Desglose)'!V98</f>
        <v>1000</v>
      </c>
      <c r="V200" s="880">
        <f>+'F1,F2,F3,F4 (Desglose)'!W98</f>
        <v>1000</v>
      </c>
      <c r="W200" s="880">
        <f>+'F1,F2,F3,F4 (Desglose)'!X98</f>
        <v>10000</v>
      </c>
      <c r="X200" s="880">
        <f>+'F1,F2,F3,F4 (Desglose)'!Y98</f>
        <v>1000</v>
      </c>
      <c r="Y200" s="880">
        <f>+'F1,F2,F3,F4 (Desglose)'!Z98</f>
        <v>1000</v>
      </c>
      <c r="Z200" s="880">
        <f>+'F1,F2,F3,F4 (Desglose)'!AA98</f>
        <v>12000</v>
      </c>
      <c r="AA200" s="880">
        <f>+'F1,F2,F3,F4 (Desglose)'!AB98</f>
        <v>1000</v>
      </c>
      <c r="AB200" s="880">
        <f>+'F1,F2,F3,F4 (Desglose)'!AC98</f>
        <v>10000</v>
      </c>
      <c r="AC200" s="880">
        <f>+'F1,F2,F3,F4 (Desglose)'!AD98</f>
        <v>1000</v>
      </c>
      <c r="AD200" s="880">
        <f>SUM(S200:AC200)</f>
        <v>48000</v>
      </c>
    </row>
    <row r="201" spans="1:55" ht="22.5" customHeight="1" x14ac:dyDescent="0.3">
      <c r="A201" s="1094"/>
      <c r="B201" s="1" t="s">
        <v>8</v>
      </c>
      <c r="C201" s="2" t="s">
        <v>18</v>
      </c>
      <c r="D201" s="882">
        <v>114000</v>
      </c>
      <c r="E201" s="882"/>
      <c r="F201" s="74">
        <v>114000</v>
      </c>
      <c r="G201" s="78">
        <f>+'F1,F2,F3,F4 (Desglose)'!H99</f>
        <v>0</v>
      </c>
      <c r="H201" s="78">
        <f>+'F1,F2,F3,F4 (Desglose)'!I99</f>
        <v>18000</v>
      </c>
      <c r="I201" s="78">
        <f>+'F1,F2,F3,F4 (Desglose)'!J99</f>
        <v>0</v>
      </c>
      <c r="J201" s="78">
        <f>+'F1,F2,F3,F4 (Desglose)'!K99</f>
        <v>0</v>
      </c>
      <c r="K201" s="78">
        <f>+'F1,F2,F3,F4 (Desglose)'!L99</f>
        <v>0</v>
      </c>
      <c r="L201" s="78">
        <f>+'F1,F2,F3,F4 (Desglose)'!M99</f>
        <v>0</v>
      </c>
      <c r="M201" s="78">
        <f>+'F1,F2,F3,F4 (Desglose)'!N99</f>
        <v>0</v>
      </c>
      <c r="N201" s="78">
        <f>+'F1,F2,F3,F4 (Desglose)'!O99</f>
        <v>18000</v>
      </c>
      <c r="O201" s="78">
        <f>+'F1,F2,F3,F4 (Desglose)'!P99</f>
        <v>0</v>
      </c>
      <c r="P201" s="78">
        <f>+'F1,F2,F3,F4 (Desglose)'!Q99</f>
        <v>20000</v>
      </c>
      <c r="Q201" s="78">
        <f>+'F1,F2,F3,F4 (Desglose)'!R99</f>
        <v>0</v>
      </c>
      <c r="R201" s="880">
        <f>SUM(G201:Q201)</f>
        <v>56000</v>
      </c>
      <c r="S201" s="880">
        <f>+'F1,F2,F3,F4 (Desglose)'!T99</f>
        <v>0</v>
      </c>
      <c r="T201" s="880">
        <f>+'F1,F2,F3,F4 (Desglose)'!U99</f>
        <v>0</v>
      </c>
      <c r="U201" s="880">
        <f>+'F1,F2,F3,F4 (Desglose)'!V99</f>
        <v>20000</v>
      </c>
      <c r="V201" s="880">
        <f>+'F1,F2,F3,F4 (Desglose)'!W99</f>
        <v>0</v>
      </c>
      <c r="W201" s="880">
        <f>+'F1,F2,F3,F4 (Desglose)'!X99</f>
        <v>0</v>
      </c>
      <c r="X201" s="880">
        <f>+'F1,F2,F3,F4 (Desglose)'!Y99</f>
        <v>0</v>
      </c>
      <c r="Y201" s="880">
        <f>+'F1,F2,F3,F4 (Desglose)'!Z99</f>
        <v>20000</v>
      </c>
      <c r="Z201" s="880">
        <f>+'F1,F2,F3,F4 (Desglose)'!AA99</f>
        <v>0</v>
      </c>
      <c r="AA201" s="880">
        <f>+'F1,F2,F3,F4 (Desglose)'!AB99</f>
        <v>0</v>
      </c>
      <c r="AB201" s="880">
        <f>+'F1,F2,F3,F4 (Desglose)'!AC99</f>
        <v>18000</v>
      </c>
      <c r="AC201" s="880">
        <f>+'F1,F2,F3,F4 (Desglose)'!AD99</f>
        <v>0</v>
      </c>
      <c r="AD201" s="880">
        <f>SUM(S201:AC201)</f>
        <v>58000</v>
      </c>
    </row>
    <row r="202" spans="1:55" s="89" customFormat="1" ht="27.75" customHeight="1" x14ac:dyDescent="0.3">
      <c r="A202" s="1095" t="s">
        <v>26</v>
      </c>
      <c r="B202" s="1096"/>
      <c r="C202" s="1097"/>
      <c r="D202" s="128">
        <f>+D204</f>
        <v>1198000</v>
      </c>
      <c r="E202" s="128">
        <f>+E204</f>
        <v>0</v>
      </c>
      <c r="F202" s="128">
        <f>+D202+E202</f>
        <v>1198000</v>
      </c>
      <c r="G202" s="128">
        <f>+G204</f>
        <v>18000</v>
      </c>
      <c r="H202" s="128">
        <f t="shared" ref="H202:AD202" si="26">+H204</f>
        <v>18000</v>
      </c>
      <c r="I202" s="128">
        <f t="shared" si="26"/>
        <v>23000</v>
      </c>
      <c r="J202" s="128">
        <f t="shared" si="26"/>
        <v>75100</v>
      </c>
      <c r="K202" s="128">
        <f t="shared" si="26"/>
        <v>76500</v>
      </c>
      <c r="L202" s="128">
        <f t="shared" si="26"/>
        <v>52400</v>
      </c>
      <c r="M202" s="128">
        <f t="shared" si="26"/>
        <v>32000</v>
      </c>
      <c r="N202" s="128">
        <f t="shared" si="26"/>
        <v>42000</v>
      </c>
      <c r="O202" s="128">
        <f t="shared" si="26"/>
        <v>42000</v>
      </c>
      <c r="P202" s="128">
        <f t="shared" si="26"/>
        <v>132000</v>
      </c>
      <c r="Q202" s="128">
        <f t="shared" si="26"/>
        <v>42000</v>
      </c>
      <c r="R202" s="128">
        <f t="shared" si="26"/>
        <v>553000</v>
      </c>
      <c r="S202" s="129">
        <f t="shared" si="26"/>
        <v>32000</v>
      </c>
      <c r="T202" s="128">
        <f t="shared" si="26"/>
        <v>42000</v>
      </c>
      <c r="U202" s="128">
        <f t="shared" si="26"/>
        <v>37000</v>
      </c>
      <c r="V202" s="128">
        <f t="shared" si="26"/>
        <v>37000</v>
      </c>
      <c r="W202" s="128">
        <f t="shared" si="26"/>
        <v>37000</v>
      </c>
      <c r="X202" s="128">
        <f t="shared" si="26"/>
        <v>37000</v>
      </c>
      <c r="Y202" s="128">
        <f t="shared" si="26"/>
        <v>37000</v>
      </c>
      <c r="Z202" s="128">
        <f t="shared" si="26"/>
        <v>37000</v>
      </c>
      <c r="AA202" s="128">
        <f t="shared" si="26"/>
        <v>37000</v>
      </c>
      <c r="AB202" s="128">
        <f t="shared" si="26"/>
        <v>37000</v>
      </c>
      <c r="AC202" s="128">
        <f t="shared" si="26"/>
        <v>275000</v>
      </c>
      <c r="AD202" s="128">
        <f t="shared" si="26"/>
        <v>645000</v>
      </c>
      <c r="AE202" s="860"/>
      <c r="AF202" s="860"/>
      <c r="AG202" s="860"/>
      <c r="AH202" s="860"/>
      <c r="AI202" s="860"/>
      <c r="AJ202" s="860"/>
      <c r="AK202" s="860"/>
      <c r="AL202" s="860"/>
      <c r="AM202" s="860"/>
      <c r="AN202" s="860"/>
      <c r="AO202" s="860"/>
      <c r="AP202" s="860"/>
      <c r="AQ202" s="860"/>
      <c r="AR202" s="860"/>
      <c r="AS202" s="860"/>
      <c r="AT202" s="860"/>
      <c r="AU202" s="860"/>
      <c r="AV202" s="860"/>
      <c r="AW202" s="860"/>
      <c r="AX202" s="860"/>
      <c r="AY202" s="860"/>
      <c r="AZ202" s="860"/>
      <c r="BA202" s="860"/>
      <c r="BB202" s="860"/>
      <c r="BC202" s="860"/>
    </row>
    <row r="203" spans="1:55" x14ac:dyDescent="0.3">
      <c r="A203" s="100" t="s">
        <v>27</v>
      </c>
      <c r="B203" s="43"/>
      <c r="C203" s="106"/>
      <c r="D203" s="65" t="e">
        <f>+S203+#REF!</f>
        <v>#REF!</v>
      </c>
      <c r="E203" s="65" t="e">
        <f>+T203+D203</f>
        <v>#REF!</v>
      </c>
      <c r="F203" s="56" t="e">
        <f>+D203+E203</f>
        <v>#REF!</v>
      </c>
      <c r="G203" s="68"/>
      <c r="H203" s="68"/>
      <c r="I203" s="68"/>
      <c r="J203" s="68"/>
      <c r="K203" s="68"/>
      <c r="L203" s="68"/>
      <c r="M203" s="68"/>
      <c r="N203" s="68"/>
      <c r="O203" s="68"/>
      <c r="P203" s="68"/>
      <c r="Q203" s="68"/>
      <c r="R203" s="56"/>
      <c r="S203" s="93"/>
      <c r="T203" s="68"/>
      <c r="U203" s="68"/>
      <c r="V203" s="68"/>
      <c r="W203" s="68"/>
      <c r="X203" s="68"/>
      <c r="Y203" s="68"/>
      <c r="Z203" s="68"/>
      <c r="AA203" s="68"/>
      <c r="AB203" s="68"/>
      <c r="AC203" s="68"/>
      <c r="AD203" s="56"/>
    </row>
    <row r="204" spans="1:55" x14ac:dyDescent="0.3">
      <c r="A204" s="770" t="s">
        <v>28</v>
      </c>
      <c r="B204" s="20"/>
      <c r="C204" s="102"/>
      <c r="D204" s="69">
        <v>1198000</v>
      </c>
      <c r="E204" s="69">
        <v>0</v>
      </c>
      <c r="F204" s="69">
        <v>1198000</v>
      </c>
      <c r="G204" s="69">
        <f>+G205+G210</f>
        <v>18000</v>
      </c>
      <c r="H204" s="69">
        <f t="shared" ref="H204:AD204" si="27">+H205+H210</f>
        <v>18000</v>
      </c>
      <c r="I204" s="69">
        <f t="shared" si="27"/>
        <v>23000</v>
      </c>
      <c r="J204" s="69">
        <f t="shared" si="27"/>
        <v>75100</v>
      </c>
      <c r="K204" s="69">
        <f t="shared" si="27"/>
        <v>76500</v>
      </c>
      <c r="L204" s="69">
        <f t="shared" si="27"/>
        <v>52400</v>
      </c>
      <c r="M204" s="69">
        <f t="shared" si="27"/>
        <v>32000</v>
      </c>
      <c r="N204" s="69">
        <f t="shared" si="27"/>
        <v>42000</v>
      </c>
      <c r="O204" s="69">
        <f t="shared" si="27"/>
        <v>42000</v>
      </c>
      <c r="P204" s="69">
        <f t="shared" si="27"/>
        <v>132000</v>
      </c>
      <c r="Q204" s="69">
        <f t="shared" si="27"/>
        <v>42000</v>
      </c>
      <c r="R204" s="69">
        <f t="shared" si="27"/>
        <v>553000</v>
      </c>
      <c r="S204" s="94">
        <f t="shared" si="27"/>
        <v>32000</v>
      </c>
      <c r="T204" s="69">
        <f t="shared" si="27"/>
        <v>42000</v>
      </c>
      <c r="U204" s="69">
        <f t="shared" si="27"/>
        <v>37000</v>
      </c>
      <c r="V204" s="69">
        <f t="shared" si="27"/>
        <v>37000</v>
      </c>
      <c r="W204" s="69">
        <f t="shared" si="27"/>
        <v>37000</v>
      </c>
      <c r="X204" s="69">
        <f t="shared" si="27"/>
        <v>37000</v>
      </c>
      <c r="Y204" s="69">
        <f t="shared" si="27"/>
        <v>37000</v>
      </c>
      <c r="Z204" s="69">
        <f t="shared" si="27"/>
        <v>37000</v>
      </c>
      <c r="AA204" s="69">
        <f t="shared" si="27"/>
        <v>37000</v>
      </c>
      <c r="AB204" s="69">
        <f t="shared" si="27"/>
        <v>37000</v>
      </c>
      <c r="AC204" s="69">
        <f t="shared" si="27"/>
        <v>275000</v>
      </c>
      <c r="AD204" s="69">
        <f t="shared" si="27"/>
        <v>645000</v>
      </c>
    </row>
    <row r="205" spans="1:55" x14ac:dyDescent="0.3">
      <c r="A205" s="1094" t="s">
        <v>32</v>
      </c>
      <c r="B205" s="45"/>
      <c r="C205" s="105"/>
      <c r="D205" s="70">
        <v>838000</v>
      </c>
      <c r="E205" s="70">
        <v>0</v>
      </c>
      <c r="F205" s="70">
        <v>838000</v>
      </c>
      <c r="G205" s="70">
        <f>SUM(G206:G209)</f>
        <v>18000</v>
      </c>
      <c r="H205" s="70">
        <f t="shared" ref="H205:AD205" si="28">SUM(H206:H209)</f>
        <v>18000</v>
      </c>
      <c r="I205" s="70">
        <f t="shared" si="28"/>
        <v>23000</v>
      </c>
      <c r="J205" s="70">
        <f t="shared" si="28"/>
        <v>60100</v>
      </c>
      <c r="K205" s="70">
        <f t="shared" si="28"/>
        <v>61500</v>
      </c>
      <c r="L205" s="70">
        <f t="shared" si="28"/>
        <v>52400</v>
      </c>
      <c r="M205" s="70">
        <f t="shared" si="28"/>
        <v>32000</v>
      </c>
      <c r="N205" s="70">
        <f t="shared" si="28"/>
        <v>42000</v>
      </c>
      <c r="O205" s="70">
        <f t="shared" si="28"/>
        <v>42000</v>
      </c>
      <c r="P205" s="70">
        <f t="shared" si="28"/>
        <v>42000</v>
      </c>
      <c r="Q205" s="70">
        <f t="shared" si="28"/>
        <v>42000</v>
      </c>
      <c r="R205" s="70">
        <f t="shared" si="28"/>
        <v>433000</v>
      </c>
      <c r="S205" s="99">
        <f t="shared" si="28"/>
        <v>32000</v>
      </c>
      <c r="T205" s="70">
        <f t="shared" si="28"/>
        <v>42000</v>
      </c>
      <c r="U205" s="70">
        <f t="shared" si="28"/>
        <v>37000</v>
      </c>
      <c r="V205" s="70">
        <f t="shared" si="28"/>
        <v>37000</v>
      </c>
      <c r="W205" s="70">
        <f t="shared" si="28"/>
        <v>37000</v>
      </c>
      <c r="X205" s="70">
        <f t="shared" si="28"/>
        <v>37000</v>
      </c>
      <c r="Y205" s="70">
        <f t="shared" si="28"/>
        <v>37000</v>
      </c>
      <c r="Z205" s="70">
        <f t="shared" si="28"/>
        <v>37000</v>
      </c>
      <c r="AA205" s="70">
        <f t="shared" si="28"/>
        <v>37000</v>
      </c>
      <c r="AB205" s="70">
        <f t="shared" si="28"/>
        <v>37000</v>
      </c>
      <c r="AC205" s="70">
        <f t="shared" si="28"/>
        <v>35000</v>
      </c>
      <c r="AD205" s="70">
        <f t="shared" si="28"/>
        <v>405000</v>
      </c>
    </row>
    <row r="206" spans="1:55" ht="33.75" customHeight="1" x14ac:dyDescent="0.3">
      <c r="A206" s="1094"/>
      <c r="B206" s="6" t="s">
        <v>2</v>
      </c>
      <c r="C206" s="3" t="s">
        <v>775</v>
      </c>
      <c r="D206" s="882">
        <v>396000</v>
      </c>
      <c r="E206" s="882"/>
      <c r="F206" s="74">
        <v>396000</v>
      </c>
      <c r="G206" s="81">
        <f>+'F1,F2,F3,F4 (Desglose)'!H104</f>
        <v>18000</v>
      </c>
      <c r="H206" s="81">
        <f>+'F1,F2,F3,F4 (Desglose)'!I104</f>
        <v>18000</v>
      </c>
      <c r="I206" s="81">
        <f>+'F1,F2,F3,F4 (Desglose)'!J104</f>
        <v>18000</v>
      </c>
      <c r="J206" s="81">
        <f>+'F1,F2,F3,F4 (Desglose)'!K104</f>
        <v>18000</v>
      </c>
      <c r="K206" s="81">
        <f>+'F1,F2,F3,F4 (Desglose)'!L104</f>
        <v>18000</v>
      </c>
      <c r="L206" s="81">
        <f>+'F1,F2,F3,F4 (Desglose)'!M104</f>
        <v>18000</v>
      </c>
      <c r="M206" s="81">
        <f>+'F1,F2,F3,F4 (Desglose)'!N104</f>
        <v>18000</v>
      </c>
      <c r="N206" s="81">
        <f>+'F1,F2,F3,F4 (Desglose)'!O104</f>
        <v>18000</v>
      </c>
      <c r="O206" s="81">
        <f>+'F1,F2,F3,F4 (Desglose)'!P104</f>
        <v>18000</v>
      </c>
      <c r="P206" s="81">
        <f>+'F1,F2,F3,F4 (Desglose)'!Q104</f>
        <v>18000</v>
      </c>
      <c r="Q206" s="81">
        <f>+'F1,F2,F3,F4 (Desglose)'!R104</f>
        <v>18000</v>
      </c>
      <c r="R206" s="81">
        <f>SUM(G206:Q206)</f>
        <v>198000</v>
      </c>
      <c r="S206" s="81">
        <f>+'F1,F2,F3,F4 (Desglose)'!T104</f>
        <v>18000</v>
      </c>
      <c r="T206" s="81">
        <f>+'F1,F2,F3,F4 (Desglose)'!U104</f>
        <v>18000</v>
      </c>
      <c r="U206" s="81">
        <f>+'F1,F2,F3,F4 (Desglose)'!V104</f>
        <v>18000</v>
      </c>
      <c r="V206" s="81">
        <f>+'F1,F2,F3,F4 (Desglose)'!W104</f>
        <v>18000</v>
      </c>
      <c r="W206" s="81">
        <f>+'F1,F2,F3,F4 (Desglose)'!X104</f>
        <v>18000</v>
      </c>
      <c r="X206" s="81">
        <f>+'F1,F2,F3,F4 (Desglose)'!Y104</f>
        <v>18000</v>
      </c>
      <c r="Y206" s="81">
        <f>+'F1,F2,F3,F4 (Desglose)'!Z104</f>
        <v>18000</v>
      </c>
      <c r="Z206" s="81">
        <f>+'F1,F2,F3,F4 (Desglose)'!AA104</f>
        <v>18000</v>
      </c>
      <c r="AA206" s="81">
        <f>+'F1,F2,F3,F4 (Desglose)'!AB104</f>
        <v>18000</v>
      </c>
      <c r="AB206" s="81">
        <f>+'F1,F2,F3,F4 (Desglose)'!AC104</f>
        <v>18000</v>
      </c>
      <c r="AC206" s="81">
        <f>+'F1,F2,F3,F4 (Desglose)'!AD104</f>
        <v>18000</v>
      </c>
      <c r="AD206" s="81">
        <f>SUM(S206:AC206)</f>
        <v>198000</v>
      </c>
    </row>
    <row r="207" spans="1:55" x14ac:dyDescent="0.3">
      <c r="A207" s="1094"/>
      <c r="B207" s="6" t="s">
        <v>3</v>
      </c>
      <c r="C207" s="47" t="s">
        <v>853</v>
      </c>
      <c r="D207" s="882">
        <v>259000</v>
      </c>
      <c r="E207" s="882"/>
      <c r="F207" s="74">
        <v>259000</v>
      </c>
      <c r="G207" s="81">
        <f>+'F1,F2,F3,F4 (Desglose)'!H105</f>
        <v>0</v>
      </c>
      <c r="H207" s="81">
        <f>+'F1,F2,F3,F4 (Desglose)'!I105</f>
        <v>0</v>
      </c>
      <c r="I207" s="81">
        <f>+'F1,F2,F3,F4 (Desglose)'!J105</f>
        <v>0</v>
      </c>
      <c r="J207" s="81">
        <f>+'F1,F2,F3,F4 (Desglose)'!K105</f>
        <v>7000</v>
      </c>
      <c r="K207" s="81">
        <f>+'F1,F2,F3,F4 (Desglose)'!L105</f>
        <v>14000</v>
      </c>
      <c r="L207" s="81">
        <f>+'F1,F2,F3,F4 (Desglose)'!M105</f>
        <v>14000</v>
      </c>
      <c r="M207" s="81">
        <f>+'F1,F2,F3,F4 (Desglose)'!N105</f>
        <v>14000</v>
      </c>
      <c r="N207" s="81">
        <f>+'F1,F2,F3,F4 (Desglose)'!O105</f>
        <v>14000</v>
      </c>
      <c r="O207" s="81">
        <f>+'F1,F2,F3,F4 (Desglose)'!P105</f>
        <v>14000</v>
      </c>
      <c r="P207" s="81">
        <f>+'F1,F2,F3,F4 (Desglose)'!Q105</f>
        <v>14000</v>
      </c>
      <c r="Q207" s="81">
        <f>+'F1,F2,F3,F4 (Desglose)'!R105</f>
        <v>14000</v>
      </c>
      <c r="R207" s="81">
        <f>SUM(G207:Q207)</f>
        <v>105000</v>
      </c>
      <c r="S207" s="81">
        <f>+'F1,F2,F3,F4 (Desglose)'!T105</f>
        <v>14000</v>
      </c>
      <c r="T207" s="81">
        <f>+'F1,F2,F3,F4 (Desglose)'!U105</f>
        <v>14000</v>
      </c>
      <c r="U207" s="81">
        <f>+'F1,F2,F3,F4 (Desglose)'!V105</f>
        <v>14000</v>
      </c>
      <c r="V207" s="81">
        <f>+'F1,F2,F3,F4 (Desglose)'!W105</f>
        <v>14000</v>
      </c>
      <c r="W207" s="81">
        <f>+'F1,F2,F3,F4 (Desglose)'!X105</f>
        <v>14000</v>
      </c>
      <c r="X207" s="81">
        <f>+'F1,F2,F3,F4 (Desglose)'!Y105</f>
        <v>14000</v>
      </c>
      <c r="Y207" s="81">
        <f>+'F1,F2,F3,F4 (Desglose)'!Z105</f>
        <v>14000</v>
      </c>
      <c r="Z207" s="81">
        <f>+'F1,F2,F3,F4 (Desglose)'!AA105</f>
        <v>14000</v>
      </c>
      <c r="AA207" s="81">
        <f>+'F1,F2,F3,F4 (Desglose)'!AB105</f>
        <v>14000</v>
      </c>
      <c r="AB207" s="81">
        <f>+'F1,F2,F3,F4 (Desglose)'!AC105</f>
        <v>14000</v>
      </c>
      <c r="AC207" s="81">
        <f>+'F1,F2,F3,F4 (Desglose)'!AD105</f>
        <v>14000</v>
      </c>
      <c r="AD207" s="81">
        <f>SUM(S207:AC207)</f>
        <v>154000</v>
      </c>
    </row>
    <row r="208" spans="1:55" ht="28.8" x14ac:dyDescent="0.3">
      <c r="A208" s="1094"/>
      <c r="B208" s="6" t="s">
        <v>4</v>
      </c>
      <c r="C208" s="3" t="s">
        <v>30</v>
      </c>
      <c r="D208" s="882">
        <v>70000</v>
      </c>
      <c r="E208" s="882"/>
      <c r="F208" s="74">
        <v>70000</v>
      </c>
      <c r="G208" s="81">
        <f>+'F1,F2,F3,F4 (Desglose)'!H106</f>
        <v>0</v>
      </c>
      <c r="H208" s="81">
        <f>+'F1,F2,F3,F4 (Desglose)'!I106</f>
        <v>0</v>
      </c>
      <c r="I208" s="81">
        <f>+'F1,F2,F3,F4 (Desglose)'!J106</f>
        <v>0</v>
      </c>
      <c r="J208" s="81">
        <f>+'F1,F2,F3,F4 (Desglose)'!K106</f>
        <v>30100</v>
      </c>
      <c r="K208" s="81">
        <f>+'F1,F2,F3,F4 (Desglose)'!L106</f>
        <v>24500</v>
      </c>
      <c r="L208" s="81">
        <f>+'F1,F2,F3,F4 (Desglose)'!M106</f>
        <v>15400</v>
      </c>
      <c r="M208" s="81">
        <f>+'F1,F2,F3,F4 (Desglose)'!N106</f>
        <v>0</v>
      </c>
      <c r="N208" s="81">
        <f>+'F1,F2,F3,F4 (Desglose)'!O106</f>
        <v>0</v>
      </c>
      <c r="O208" s="81">
        <f>+'F1,F2,F3,F4 (Desglose)'!P106</f>
        <v>0</v>
      </c>
      <c r="P208" s="81">
        <f>+'F1,F2,F3,F4 (Desglose)'!Q106</f>
        <v>0</v>
      </c>
      <c r="Q208" s="81">
        <f>+'F1,F2,F3,F4 (Desglose)'!R106</f>
        <v>0</v>
      </c>
      <c r="R208" s="81">
        <f>SUM(G208:Q208)</f>
        <v>70000</v>
      </c>
      <c r="S208" s="81">
        <f>+'F1,F2,F3,F4 (Desglose)'!T106</f>
        <v>0</v>
      </c>
      <c r="T208" s="81">
        <f>+'F1,F2,F3,F4 (Desglose)'!U106</f>
        <v>0</v>
      </c>
      <c r="U208" s="81">
        <f>+'F1,F2,F3,F4 (Desglose)'!V106</f>
        <v>0</v>
      </c>
      <c r="V208" s="81">
        <f>+'F1,F2,F3,F4 (Desglose)'!W106</f>
        <v>0</v>
      </c>
      <c r="W208" s="81">
        <f>+'F1,F2,F3,F4 (Desglose)'!X106</f>
        <v>0</v>
      </c>
      <c r="X208" s="81">
        <f>+'F1,F2,F3,F4 (Desglose)'!Y106</f>
        <v>0</v>
      </c>
      <c r="Y208" s="81">
        <f>+'F1,F2,F3,F4 (Desglose)'!Z106</f>
        <v>0</v>
      </c>
      <c r="Z208" s="81">
        <f>+'F1,F2,F3,F4 (Desglose)'!AA106</f>
        <v>0</v>
      </c>
      <c r="AA208" s="81">
        <f>+'F1,F2,F3,F4 (Desglose)'!AB106</f>
        <v>0</v>
      </c>
      <c r="AB208" s="81">
        <f>+'F1,F2,F3,F4 (Desglose)'!AC106</f>
        <v>0</v>
      </c>
      <c r="AC208" s="81">
        <f>+'F1,F2,F3,F4 (Desglose)'!AD106</f>
        <v>0</v>
      </c>
      <c r="AD208" s="81">
        <f>SUM(S208:AC208)</f>
        <v>0</v>
      </c>
    </row>
    <row r="209" spans="1:55" ht="51" customHeight="1" x14ac:dyDescent="0.3">
      <c r="A209" s="1094"/>
      <c r="B209" s="6" t="s">
        <v>8</v>
      </c>
      <c r="C209" s="3" t="s">
        <v>29</v>
      </c>
      <c r="D209" s="882">
        <v>113000</v>
      </c>
      <c r="E209" s="882"/>
      <c r="F209" s="74">
        <v>113000</v>
      </c>
      <c r="G209" s="81">
        <f>+'F1,F2,F3,F4 (Desglose)'!H107</f>
        <v>0</v>
      </c>
      <c r="H209" s="81">
        <f>+'F1,F2,F3,F4 (Desglose)'!I107</f>
        <v>0</v>
      </c>
      <c r="I209" s="81">
        <f>+'F1,F2,F3,F4 (Desglose)'!J107</f>
        <v>5000</v>
      </c>
      <c r="J209" s="81">
        <f>+'F1,F2,F3,F4 (Desglose)'!K107</f>
        <v>5000</v>
      </c>
      <c r="K209" s="81">
        <f>+'F1,F2,F3,F4 (Desglose)'!L107</f>
        <v>5000</v>
      </c>
      <c r="L209" s="81">
        <f>+'F1,F2,F3,F4 (Desglose)'!M107</f>
        <v>5000</v>
      </c>
      <c r="M209" s="81">
        <f>+'F1,F2,F3,F4 (Desglose)'!N107</f>
        <v>0</v>
      </c>
      <c r="N209" s="81">
        <f>+'F1,F2,F3,F4 (Desglose)'!O107</f>
        <v>10000</v>
      </c>
      <c r="O209" s="81">
        <f>+'F1,F2,F3,F4 (Desglose)'!P107</f>
        <v>10000</v>
      </c>
      <c r="P209" s="81">
        <f>+'F1,F2,F3,F4 (Desglose)'!Q107</f>
        <v>10000</v>
      </c>
      <c r="Q209" s="81">
        <f>+'F1,F2,F3,F4 (Desglose)'!R107</f>
        <v>10000</v>
      </c>
      <c r="R209" s="81">
        <f>SUM(G209:Q209)</f>
        <v>60000</v>
      </c>
      <c r="S209" s="81">
        <f>+'F1,F2,F3,F4 (Desglose)'!T107</f>
        <v>0</v>
      </c>
      <c r="T209" s="81">
        <f>+'F1,F2,F3,F4 (Desglose)'!U107</f>
        <v>10000</v>
      </c>
      <c r="U209" s="81">
        <f>+'F1,F2,F3,F4 (Desglose)'!V107</f>
        <v>5000</v>
      </c>
      <c r="V209" s="81">
        <f>+'F1,F2,F3,F4 (Desglose)'!W107</f>
        <v>5000</v>
      </c>
      <c r="W209" s="81">
        <f>+'F1,F2,F3,F4 (Desglose)'!X107</f>
        <v>5000</v>
      </c>
      <c r="X209" s="81">
        <f>+'F1,F2,F3,F4 (Desglose)'!Y107</f>
        <v>5000</v>
      </c>
      <c r="Y209" s="81">
        <f>+'F1,F2,F3,F4 (Desglose)'!Z107</f>
        <v>5000</v>
      </c>
      <c r="Z209" s="81">
        <f>+'F1,F2,F3,F4 (Desglose)'!AA107</f>
        <v>5000</v>
      </c>
      <c r="AA209" s="81">
        <f>+'F1,F2,F3,F4 (Desglose)'!AB107</f>
        <v>5000</v>
      </c>
      <c r="AB209" s="81">
        <f>+'F1,F2,F3,F4 (Desglose)'!AC107</f>
        <v>5000</v>
      </c>
      <c r="AC209" s="81">
        <f>+'F1,F2,F3,F4 (Desglose)'!AD107</f>
        <v>3000</v>
      </c>
      <c r="AD209" s="81">
        <f>SUM(S209:AC209)</f>
        <v>53000</v>
      </c>
    </row>
    <row r="210" spans="1:55" s="67" customFormat="1" x14ac:dyDescent="0.3">
      <c r="A210" s="1094" t="s">
        <v>33</v>
      </c>
      <c r="B210" s="40"/>
      <c r="C210" s="108"/>
      <c r="D210" s="70">
        <v>360000</v>
      </c>
      <c r="E210" s="70">
        <v>0</v>
      </c>
      <c r="F210" s="70">
        <v>360000</v>
      </c>
      <c r="G210" s="70">
        <f t="shared" ref="G210:AD210" si="29">SUM(G211:G212)</f>
        <v>0</v>
      </c>
      <c r="H210" s="70">
        <f t="shared" si="29"/>
        <v>0</v>
      </c>
      <c r="I210" s="70">
        <f t="shared" si="29"/>
        <v>0</v>
      </c>
      <c r="J210" s="70">
        <f t="shared" si="29"/>
        <v>15000</v>
      </c>
      <c r="K210" s="70">
        <f t="shared" si="29"/>
        <v>15000</v>
      </c>
      <c r="L210" s="70">
        <f t="shared" si="29"/>
        <v>0</v>
      </c>
      <c r="M210" s="70">
        <f t="shared" si="29"/>
        <v>0</v>
      </c>
      <c r="N210" s="70">
        <f t="shared" si="29"/>
        <v>0</v>
      </c>
      <c r="O210" s="70">
        <f t="shared" si="29"/>
        <v>0</v>
      </c>
      <c r="P210" s="70">
        <f t="shared" si="29"/>
        <v>90000</v>
      </c>
      <c r="Q210" s="70">
        <f t="shared" si="29"/>
        <v>0</v>
      </c>
      <c r="R210" s="66">
        <f t="shared" si="29"/>
        <v>120000</v>
      </c>
      <c r="S210" s="66">
        <f t="shared" si="29"/>
        <v>0</v>
      </c>
      <c r="T210" s="66">
        <f t="shared" si="29"/>
        <v>0</v>
      </c>
      <c r="U210" s="66">
        <f t="shared" si="29"/>
        <v>0</v>
      </c>
      <c r="V210" s="66">
        <f t="shared" si="29"/>
        <v>0</v>
      </c>
      <c r="W210" s="66">
        <f t="shared" si="29"/>
        <v>0</v>
      </c>
      <c r="X210" s="66">
        <f t="shared" si="29"/>
        <v>0</v>
      </c>
      <c r="Y210" s="66">
        <f t="shared" si="29"/>
        <v>0</v>
      </c>
      <c r="Z210" s="66">
        <f t="shared" si="29"/>
        <v>0</v>
      </c>
      <c r="AA210" s="66">
        <f t="shared" si="29"/>
        <v>0</v>
      </c>
      <c r="AB210" s="66">
        <f t="shared" si="29"/>
        <v>0</v>
      </c>
      <c r="AC210" s="66">
        <f t="shared" si="29"/>
        <v>240000</v>
      </c>
      <c r="AD210" s="66">
        <f t="shared" si="29"/>
        <v>240000</v>
      </c>
      <c r="AE210" s="663"/>
      <c r="AF210" s="663"/>
      <c r="AG210" s="663"/>
      <c r="AH210" s="663"/>
      <c r="AI210" s="663"/>
      <c r="AJ210" s="663"/>
      <c r="AK210" s="663"/>
      <c r="AL210" s="663"/>
      <c r="AM210" s="663"/>
      <c r="AN210" s="663"/>
      <c r="AO210" s="663"/>
      <c r="AP210" s="663"/>
      <c r="AQ210" s="663"/>
      <c r="AR210" s="663"/>
      <c r="AS210" s="663"/>
      <c r="AT210" s="663"/>
      <c r="AU210" s="663"/>
      <c r="AV210" s="663"/>
      <c r="AW210" s="663"/>
      <c r="AX210" s="663"/>
      <c r="AY210" s="663"/>
      <c r="AZ210" s="663"/>
      <c r="BA210" s="663"/>
      <c r="BB210" s="663"/>
      <c r="BC210" s="663"/>
    </row>
    <row r="211" spans="1:55" ht="22.5" customHeight="1" x14ac:dyDescent="0.3">
      <c r="A211" s="1094"/>
      <c r="B211" s="771" t="s">
        <v>2</v>
      </c>
      <c r="C211" s="3" t="s">
        <v>31</v>
      </c>
      <c r="D211" s="882">
        <v>300000</v>
      </c>
      <c r="E211" s="882"/>
      <c r="F211" s="74">
        <v>300000</v>
      </c>
      <c r="G211" s="76">
        <f>+'F1,F2,F3,F4 (Desglose)'!H109</f>
        <v>0</v>
      </c>
      <c r="H211" s="76">
        <f>+'F1,F2,F3,F4 (Desglose)'!I109</f>
        <v>0</v>
      </c>
      <c r="I211" s="76">
        <f>+'F1,F2,F3,F4 (Desglose)'!J109</f>
        <v>0</v>
      </c>
      <c r="J211" s="76">
        <f>+'F1,F2,F3,F4 (Desglose)'!K109</f>
        <v>15000</v>
      </c>
      <c r="K211" s="76">
        <f>+'F1,F2,F3,F4 (Desglose)'!L109</f>
        <v>15000</v>
      </c>
      <c r="L211" s="76">
        <f>+'F1,F2,F3,F4 (Desglose)'!M109</f>
        <v>0</v>
      </c>
      <c r="M211" s="76">
        <f>+'F1,F2,F3,F4 (Desglose)'!N109</f>
        <v>0</v>
      </c>
      <c r="N211" s="76">
        <f>+'F1,F2,F3,F4 (Desglose)'!O109</f>
        <v>0</v>
      </c>
      <c r="O211" s="76">
        <f>+'F1,F2,F3,F4 (Desglose)'!P109</f>
        <v>0</v>
      </c>
      <c r="P211" s="76">
        <f>+'F1,F2,F3,F4 (Desglose)'!Q109</f>
        <v>90000</v>
      </c>
      <c r="Q211" s="76">
        <f>+'F1,F2,F3,F4 (Desglose)'!R109</f>
        <v>0</v>
      </c>
      <c r="R211" s="61">
        <f>SUM(G211:Q211)</f>
        <v>120000</v>
      </c>
      <c r="S211" s="61">
        <f>+'F1,F2,F3,F4 (Desglose)'!T109</f>
        <v>0</v>
      </c>
      <c r="T211" s="61">
        <f>+'F1,F2,F3,F4 (Desglose)'!U109</f>
        <v>0</v>
      </c>
      <c r="U211" s="61">
        <f>+'F1,F2,F3,F4 (Desglose)'!V109</f>
        <v>0</v>
      </c>
      <c r="V211" s="61">
        <f>+'F1,F2,F3,F4 (Desglose)'!W109</f>
        <v>0</v>
      </c>
      <c r="W211" s="61">
        <f>+'F1,F2,F3,F4 (Desglose)'!X109</f>
        <v>0</v>
      </c>
      <c r="X211" s="61">
        <f>+'F1,F2,F3,F4 (Desglose)'!Y109</f>
        <v>0</v>
      </c>
      <c r="Y211" s="61">
        <f>+'F1,F2,F3,F4 (Desglose)'!Z109</f>
        <v>0</v>
      </c>
      <c r="Z211" s="61">
        <f>+'F1,F2,F3,F4 (Desglose)'!AA109</f>
        <v>0</v>
      </c>
      <c r="AA211" s="61">
        <f>+'F1,F2,F3,F4 (Desglose)'!AB109</f>
        <v>0</v>
      </c>
      <c r="AB211" s="61">
        <f>+'F1,F2,F3,F4 (Desglose)'!AC109</f>
        <v>0</v>
      </c>
      <c r="AC211" s="61">
        <f>+'F1,F2,F3,F4 (Desglose)'!AD109</f>
        <v>180000</v>
      </c>
      <c r="AD211" s="61">
        <f>SUM(S211:AC211)</f>
        <v>180000</v>
      </c>
    </row>
    <row r="212" spans="1:55" ht="33" customHeight="1" x14ac:dyDescent="0.3">
      <c r="A212" s="1094"/>
      <c r="B212" s="771" t="s">
        <v>3</v>
      </c>
      <c r="C212" s="3" t="s">
        <v>34</v>
      </c>
      <c r="D212" s="881">
        <v>60000</v>
      </c>
      <c r="E212" s="881"/>
      <c r="F212" s="236">
        <v>60000</v>
      </c>
      <c r="G212" s="76">
        <f>+'F1,F2,F3,F4 (Desglose)'!H110</f>
        <v>0</v>
      </c>
      <c r="H212" s="76">
        <f>+'F1,F2,F3,F4 (Desglose)'!I110</f>
        <v>0</v>
      </c>
      <c r="I212" s="76">
        <f>+'F1,F2,F3,F4 (Desglose)'!J110</f>
        <v>0</v>
      </c>
      <c r="J212" s="76">
        <f>+'F1,F2,F3,F4 (Desglose)'!K110</f>
        <v>0</v>
      </c>
      <c r="K212" s="76">
        <f>+'F1,F2,F3,F4 (Desglose)'!L110</f>
        <v>0</v>
      </c>
      <c r="L212" s="76">
        <f>+'F1,F2,F3,F4 (Desglose)'!M110</f>
        <v>0</v>
      </c>
      <c r="M212" s="76">
        <f>+'F1,F2,F3,F4 (Desglose)'!N110</f>
        <v>0</v>
      </c>
      <c r="N212" s="76">
        <f>+'F1,F2,F3,F4 (Desglose)'!O110</f>
        <v>0</v>
      </c>
      <c r="O212" s="76">
        <f>+'F1,F2,F3,F4 (Desglose)'!P110</f>
        <v>0</v>
      </c>
      <c r="P212" s="76">
        <f>+'F1,F2,F3,F4 (Desglose)'!Q110</f>
        <v>0</v>
      </c>
      <c r="Q212" s="76">
        <f>+'F1,F2,F3,F4 (Desglose)'!R110</f>
        <v>0</v>
      </c>
      <c r="R212" s="61">
        <f>SUM(G212:Q212)</f>
        <v>0</v>
      </c>
      <c r="S212" s="61">
        <f>+'F1,F2,F3,F4 (Desglose)'!T110</f>
        <v>0</v>
      </c>
      <c r="T212" s="61">
        <f>+'F1,F2,F3,F4 (Desglose)'!U110</f>
        <v>0</v>
      </c>
      <c r="U212" s="61">
        <f>+'F1,F2,F3,F4 (Desglose)'!V110</f>
        <v>0</v>
      </c>
      <c r="V212" s="61">
        <f>+'F1,F2,F3,F4 (Desglose)'!W110</f>
        <v>0</v>
      </c>
      <c r="W212" s="61">
        <f>+'F1,F2,F3,F4 (Desglose)'!X110</f>
        <v>0</v>
      </c>
      <c r="X212" s="61">
        <f>+'F1,F2,F3,F4 (Desglose)'!Y110</f>
        <v>0</v>
      </c>
      <c r="Y212" s="61">
        <f>+'F1,F2,F3,F4 (Desglose)'!Z110</f>
        <v>0</v>
      </c>
      <c r="Z212" s="61">
        <f>+'F1,F2,F3,F4 (Desglose)'!AA110</f>
        <v>0</v>
      </c>
      <c r="AA212" s="61">
        <f>+'F1,F2,F3,F4 (Desglose)'!AB110</f>
        <v>0</v>
      </c>
      <c r="AB212" s="61">
        <f>+'F1,F2,F3,F4 (Desglose)'!AC110</f>
        <v>0</v>
      </c>
      <c r="AC212" s="61">
        <f>+'F1,F2,F3,F4 (Desglose)'!AD110</f>
        <v>60000</v>
      </c>
      <c r="AD212" s="61">
        <f>SUM(S212:AC212)</f>
        <v>60000</v>
      </c>
    </row>
    <row r="213" spans="1:55" s="135" customFormat="1" ht="39" customHeight="1" x14ac:dyDescent="0.3">
      <c r="A213" s="768" t="s">
        <v>35</v>
      </c>
      <c r="B213" s="87"/>
      <c r="C213" s="127"/>
      <c r="D213" s="128">
        <f>+D215</f>
        <v>696000</v>
      </c>
      <c r="E213" s="128">
        <f>+E215</f>
        <v>0</v>
      </c>
      <c r="F213" s="128">
        <f>+D213+E213</f>
        <v>696000</v>
      </c>
      <c r="G213" s="128">
        <f>+G215</f>
        <v>18000</v>
      </c>
      <c r="H213" s="128">
        <f t="shared" ref="H213:AD213" si="30">+H215</f>
        <v>42610</v>
      </c>
      <c r="I213" s="128">
        <f t="shared" si="30"/>
        <v>83000</v>
      </c>
      <c r="J213" s="128">
        <f t="shared" si="30"/>
        <v>18000</v>
      </c>
      <c r="K213" s="128">
        <f t="shared" si="30"/>
        <v>18000</v>
      </c>
      <c r="L213" s="128">
        <f t="shared" si="30"/>
        <v>18000</v>
      </c>
      <c r="M213" s="128">
        <f t="shared" si="30"/>
        <v>18000</v>
      </c>
      <c r="N213" s="128">
        <f t="shared" si="30"/>
        <v>63390</v>
      </c>
      <c r="O213" s="128">
        <f t="shared" si="30"/>
        <v>18000</v>
      </c>
      <c r="P213" s="128">
        <f t="shared" si="30"/>
        <v>43000</v>
      </c>
      <c r="Q213" s="128">
        <f t="shared" si="30"/>
        <v>18000</v>
      </c>
      <c r="R213" s="128">
        <f t="shared" si="30"/>
        <v>358000</v>
      </c>
      <c r="S213" s="129">
        <f t="shared" si="30"/>
        <v>18000</v>
      </c>
      <c r="T213" s="128">
        <f t="shared" si="30"/>
        <v>18000</v>
      </c>
      <c r="U213" s="128">
        <f t="shared" si="30"/>
        <v>78000</v>
      </c>
      <c r="V213" s="128">
        <f t="shared" si="30"/>
        <v>18000</v>
      </c>
      <c r="W213" s="128">
        <f t="shared" si="30"/>
        <v>23000</v>
      </c>
      <c r="X213" s="128">
        <f t="shared" si="30"/>
        <v>18000</v>
      </c>
      <c r="Y213" s="128">
        <f t="shared" si="30"/>
        <v>23000</v>
      </c>
      <c r="Z213" s="128">
        <f t="shared" si="30"/>
        <v>18000</v>
      </c>
      <c r="AA213" s="128">
        <f t="shared" si="30"/>
        <v>23000</v>
      </c>
      <c r="AB213" s="128">
        <f t="shared" si="30"/>
        <v>18000</v>
      </c>
      <c r="AC213" s="128">
        <f t="shared" si="30"/>
        <v>83000</v>
      </c>
      <c r="AD213" s="128">
        <f t="shared" si="30"/>
        <v>338000</v>
      </c>
      <c r="AE213" s="865"/>
      <c r="AF213" s="865"/>
      <c r="AG213" s="865"/>
      <c r="AH213" s="865"/>
      <c r="AI213" s="865"/>
      <c r="AJ213" s="865"/>
      <c r="AK213" s="865"/>
      <c r="AL213" s="865"/>
      <c r="AM213" s="865"/>
      <c r="AN213" s="865"/>
      <c r="AO213" s="865"/>
      <c r="AP213" s="865"/>
      <c r="AQ213" s="865"/>
      <c r="AR213" s="865"/>
      <c r="AS213" s="865"/>
      <c r="AT213" s="865"/>
      <c r="AU213" s="865"/>
      <c r="AV213" s="865"/>
      <c r="AW213" s="865"/>
      <c r="AX213" s="865"/>
      <c r="AY213" s="865"/>
      <c r="AZ213" s="865"/>
      <c r="BA213" s="865"/>
      <c r="BB213" s="865"/>
      <c r="BC213" s="865"/>
    </row>
    <row r="214" spans="1:55" s="4" customFormat="1" ht="18.600000000000001" customHeight="1" x14ac:dyDescent="0.3">
      <c r="A214" s="769" t="s">
        <v>36</v>
      </c>
      <c r="B214" s="774"/>
      <c r="C214" s="2"/>
      <c r="D214" s="65" t="e">
        <f>+S214+#REF!</f>
        <v>#REF!</v>
      </c>
      <c r="E214" s="65" t="e">
        <f>+T214+D214</f>
        <v>#REF!</v>
      </c>
      <c r="F214" s="56" t="e">
        <f>+D214+E214</f>
        <v>#REF!</v>
      </c>
      <c r="G214" s="68"/>
      <c r="H214" s="68"/>
      <c r="I214" s="68"/>
      <c r="J214" s="68"/>
      <c r="K214" s="68"/>
      <c r="L214" s="68"/>
      <c r="M214" s="68"/>
      <c r="N214" s="68"/>
      <c r="O214" s="68"/>
      <c r="P214" s="68"/>
      <c r="Q214" s="68"/>
      <c r="R214" s="56"/>
      <c r="S214" s="93"/>
      <c r="T214" s="68"/>
      <c r="U214" s="68"/>
      <c r="V214" s="68"/>
      <c r="W214" s="68"/>
      <c r="X214" s="68"/>
      <c r="Y214" s="68"/>
      <c r="Z214" s="68"/>
      <c r="AA214" s="68"/>
      <c r="AB214" s="68"/>
      <c r="AC214" s="68"/>
      <c r="AD214" s="56"/>
      <c r="AE214" s="9"/>
      <c r="AF214" s="9"/>
      <c r="AG214" s="9"/>
      <c r="AH214" s="9"/>
      <c r="AI214" s="9"/>
      <c r="AJ214" s="9"/>
      <c r="AK214" s="9"/>
      <c r="AL214" s="9"/>
      <c r="AM214" s="9"/>
      <c r="AN214" s="9"/>
      <c r="AO214" s="9"/>
      <c r="AP214" s="9"/>
      <c r="AQ214" s="9"/>
      <c r="AR214" s="9"/>
      <c r="AS214" s="9"/>
      <c r="AT214" s="9"/>
      <c r="AU214" s="9"/>
      <c r="AV214" s="9"/>
      <c r="AW214" s="9"/>
      <c r="AX214" s="9"/>
      <c r="AY214" s="9"/>
      <c r="AZ214" s="9"/>
      <c r="BA214" s="9"/>
      <c r="BB214" s="9"/>
      <c r="BC214" s="9"/>
    </row>
    <row r="215" spans="1:55" s="4" customFormat="1" ht="22.2" customHeight="1" x14ac:dyDescent="0.3">
      <c r="A215" s="769" t="s">
        <v>37</v>
      </c>
      <c r="B215" s="774"/>
      <c r="C215" s="2"/>
      <c r="D215" s="69">
        <v>696000</v>
      </c>
      <c r="E215" s="69">
        <v>0</v>
      </c>
      <c r="F215" s="69">
        <v>696000</v>
      </c>
      <c r="G215" s="69">
        <f>+G216</f>
        <v>18000</v>
      </c>
      <c r="H215" s="69">
        <f>+H216</f>
        <v>42610</v>
      </c>
      <c r="I215" s="69">
        <f t="shared" ref="I215:AD215" si="31">+I216</f>
        <v>83000</v>
      </c>
      <c r="J215" s="69">
        <f t="shared" si="31"/>
        <v>18000</v>
      </c>
      <c r="K215" s="69">
        <f t="shared" si="31"/>
        <v>18000</v>
      </c>
      <c r="L215" s="69">
        <f t="shared" si="31"/>
        <v>18000</v>
      </c>
      <c r="M215" s="69">
        <f t="shared" si="31"/>
        <v>18000</v>
      </c>
      <c r="N215" s="69">
        <f t="shared" si="31"/>
        <v>63390</v>
      </c>
      <c r="O215" s="69">
        <f t="shared" si="31"/>
        <v>18000</v>
      </c>
      <c r="P215" s="69">
        <f t="shared" si="31"/>
        <v>43000</v>
      </c>
      <c r="Q215" s="69">
        <f t="shared" si="31"/>
        <v>18000</v>
      </c>
      <c r="R215" s="69">
        <f t="shared" si="31"/>
        <v>358000</v>
      </c>
      <c r="S215" s="94">
        <f t="shared" si="31"/>
        <v>18000</v>
      </c>
      <c r="T215" s="69">
        <f t="shared" si="31"/>
        <v>18000</v>
      </c>
      <c r="U215" s="69">
        <f t="shared" si="31"/>
        <v>78000</v>
      </c>
      <c r="V215" s="69">
        <f t="shared" si="31"/>
        <v>18000</v>
      </c>
      <c r="W215" s="69">
        <f t="shared" si="31"/>
        <v>23000</v>
      </c>
      <c r="X215" s="69">
        <f t="shared" si="31"/>
        <v>18000</v>
      </c>
      <c r="Y215" s="69">
        <f t="shared" si="31"/>
        <v>23000</v>
      </c>
      <c r="Z215" s="69">
        <f t="shared" si="31"/>
        <v>18000</v>
      </c>
      <c r="AA215" s="69">
        <f t="shared" si="31"/>
        <v>23000</v>
      </c>
      <c r="AB215" s="69">
        <f t="shared" si="31"/>
        <v>18000</v>
      </c>
      <c r="AC215" s="69">
        <f t="shared" si="31"/>
        <v>83000</v>
      </c>
      <c r="AD215" s="69">
        <f t="shared" si="31"/>
        <v>338000</v>
      </c>
      <c r="AE215" s="9"/>
      <c r="AF215" s="9"/>
      <c r="AG215" s="9"/>
      <c r="AH215" s="9"/>
      <c r="AI215" s="9"/>
      <c r="AJ215" s="9"/>
      <c r="AK215" s="9"/>
      <c r="AL215" s="9"/>
      <c r="AM215" s="9"/>
      <c r="AN215" s="9"/>
      <c r="AO215" s="9"/>
      <c r="AP215" s="9"/>
      <c r="AQ215" s="9"/>
      <c r="AR215" s="9"/>
      <c r="AS215" s="9"/>
      <c r="AT215" s="9"/>
      <c r="AU215" s="9"/>
      <c r="AV215" s="9"/>
      <c r="AW215" s="9"/>
      <c r="AX215" s="9"/>
      <c r="AY215" s="9"/>
      <c r="AZ215" s="9"/>
      <c r="BA215" s="9"/>
      <c r="BB215" s="9"/>
      <c r="BC215" s="9"/>
    </row>
    <row r="216" spans="1:55" x14ac:dyDescent="0.3">
      <c r="A216" s="1094" t="s">
        <v>79</v>
      </c>
      <c r="B216" s="45"/>
      <c r="C216" s="105"/>
      <c r="D216" s="70">
        <v>696000</v>
      </c>
      <c r="E216" s="70">
        <v>0</v>
      </c>
      <c r="F216" s="70">
        <v>696000</v>
      </c>
      <c r="G216" s="70">
        <f>SUM(G217:G219)</f>
        <v>18000</v>
      </c>
      <c r="H216" s="70">
        <f t="shared" ref="H216:AD216" si="32">SUM(H217:H219)</f>
        <v>42610</v>
      </c>
      <c r="I216" s="70">
        <f t="shared" si="32"/>
        <v>83000</v>
      </c>
      <c r="J216" s="70">
        <f t="shared" si="32"/>
        <v>18000</v>
      </c>
      <c r="K216" s="70">
        <f t="shared" si="32"/>
        <v>18000</v>
      </c>
      <c r="L216" s="70">
        <f t="shared" si="32"/>
        <v>18000</v>
      </c>
      <c r="M216" s="70">
        <f t="shared" si="32"/>
        <v>18000</v>
      </c>
      <c r="N216" s="70">
        <f t="shared" si="32"/>
        <v>63390</v>
      </c>
      <c r="O216" s="70">
        <f t="shared" si="32"/>
        <v>18000</v>
      </c>
      <c r="P216" s="70">
        <f t="shared" si="32"/>
        <v>43000</v>
      </c>
      <c r="Q216" s="70">
        <f t="shared" si="32"/>
        <v>18000</v>
      </c>
      <c r="R216" s="70">
        <f t="shared" si="32"/>
        <v>358000</v>
      </c>
      <c r="S216" s="99">
        <f t="shared" si="32"/>
        <v>18000</v>
      </c>
      <c r="T216" s="70">
        <f t="shared" si="32"/>
        <v>18000</v>
      </c>
      <c r="U216" s="70">
        <f t="shared" si="32"/>
        <v>78000</v>
      </c>
      <c r="V216" s="70">
        <f t="shared" si="32"/>
        <v>18000</v>
      </c>
      <c r="W216" s="70">
        <f t="shared" si="32"/>
        <v>23000</v>
      </c>
      <c r="X216" s="70">
        <f t="shared" si="32"/>
        <v>18000</v>
      </c>
      <c r="Y216" s="70">
        <f t="shared" si="32"/>
        <v>23000</v>
      </c>
      <c r="Z216" s="70">
        <f t="shared" si="32"/>
        <v>18000</v>
      </c>
      <c r="AA216" s="70">
        <f t="shared" si="32"/>
        <v>23000</v>
      </c>
      <c r="AB216" s="70">
        <f t="shared" si="32"/>
        <v>18000</v>
      </c>
      <c r="AC216" s="70">
        <f t="shared" si="32"/>
        <v>83000</v>
      </c>
      <c r="AD216" s="70">
        <f t="shared" si="32"/>
        <v>338000</v>
      </c>
    </row>
    <row r="217" spans="1:55" ht="37.5" customHeight="1" x14ac:dyDescent="0.3">
      <c r="A217" s="1094"/>
      <c r="B217" s="7" t="s">
        <v>2</v>
      </c>
      <c r="C217" s="8" t="s">
        <v>38</v>
      </c>
      <c r="D217" s="882">
        <v>396000</v>
      </c>
      <c r="E217" s="882"/>
      <c r="F217" s="74">
        <v>396000</v>
      </c>
      <c r="G217" s="73">
        <v>18000</v>
      </c>
      <c r="H217" s="73">
        <v>18000</v>
      </c>
      <c r="I217" s="73">
        <v>18000</v>
      </c>
      <c r="J217" s="73">
        <v>18000</v>
      </c>
      <c r="K217" s="73">
        <v>18000</v>
      </c>
      <c r="L217" s="73">
        <v>18000</v>
      </c>
      <c r="M217" s="73">
        <v>18000</v>
      </c>
      <c r="N217" s="73">
        <v>18000</v>
      </c>
      <c r="O217" s="73">
        <v>18000</v>
      </c>
      <c r="P217" s="73">
        <v>18000</v>
      </c>
      <c r="Q217" s="73">
        <v>18000</v>
      </c>
      <c r="R217" s="164">
        <f>SUM(G217:Q217)</f>
        <v>198000</v>
      </c>
      <c r="S217" s="876">
        <v>18000</v>
      </c>
      <c r="T217" s="81">
        <v>18000</v>
      </c>
      <c r="U217" s="81">
        <v>18000</v>
      </c>
      <c r="V217" s="81">
        <v>18000</v>
      </c>
      <c r="W217" s="81">
        <v>18000</v>
      </c>
      <c r="X217" s="81">
        <v>18000</v>
      </c>
      <c r="Y217" s="81">
        <v>18000</v>
      </c>
      <c r="Z217" s="81">
        <v>18000</v>
      </c>
      <c r="AA217" s="81">
        <v>18000</v>
      </c>
      <c r="AB217" s="81">
        <v>18000</v>
      </c>
      <c r="AC217" s="81">
        <v>18000</v>
      </c>
      <c r="AD217" s="164">
        <f>SUM(S217:AC217)</f>
        <v>198000</v>
      </c>
    </row>
    <row r="218" spans="1:55" ht="43.2" x14ac:dyDescent="0.3">
      <c r="A218" s="1094"/>
      <c r="B218" s="6" t="s">
        <v>3</v>
      </c>
      <c r="C218" s="3" t="s">
        <v>39</v>
      </c>
      <c r="D218" s="882">
        <v>150000</v>
      </c>
      <c r="E218" s="882"/>
      <c r="F218" s="74">
        <v>150000</v>
      </c>
      <c r="G218" s="73">
        <f>+'F1,F2,F3,F4 (Desglose)'!H116</f>
        <v>0</v>
      </c>
      <c r="H218" s="73">
        <f>+'F1,F2,F3,F4 (Desglose)'!I116</f>
        <v>24610</v>
      </c>
      <c r="I218" s="73">
        <f>+'F1,F2,F3,F4 (Desglose)'!J116</f>
        <v>0</v>
      </c>
      <c r="J218" s="73">
        <f>+'F1,F2,F3,F4 (Desglose)'!K116</f>
        <v>0</v>
      </c>
      <c r="K218" s="73">
        <f>+'F1,F2,F3,F4 (Desglose)'!L116</f>
        <v>0</v>
      </c>
      <c r="L218" s="73">
        <f>+'F1,F2,F3,F4 (Desglose)'!M116</f>
        <v>0</v>
      </c>
      <c r="M218" s="73">
        <f>+'F1,F2,F3,F4 (Desglose)'!N116</f>
        <v>0</v>
      </c>
      <c r="N218" s="73">
        <f>+'F1,F2,F3,F4 (Desglose)'!O116</f>
        <v>20390</v>
      </c>
      <c r="O218" s="73">
        <f>+'F1,F2,F3,F4 (Desglose)'!P116</f>
        <v>0</v>
      </c>
      <c r="P218" s="73">
        <f>+'F1,F2,F3,F4 (Desglose)'!Q116</f>
        <v>25000</v>
      </c>
      <c r="Q218" s="73">
        <f>+'F1,F2,F3,F4 (Desglose)'!R116</f>
        <v>0</v>
      </c>
      <c r="R218" s="164">
        <f>SUM(G218:Q218)</f>
        <v>70000</v>
      </c>
      <c r="S218" s="876"/>
      <c r="T218" s="81"/>
      <c r="U218" s="81">
        <v>25000</v>
      </c>
      <c r="V218" s="81"/>
      <c r="W218" s="81">
        <v>5000</v>
      </c>
      <c r="X218" s="81"/>
      <c r="Y218" s="81">
        <v>5000</v>
      </c>
      <c r="Z218" s="81"/>
      <c r="AA218" s="81">
        <v>5000</v>
      </c>
      <c r="AB218" s="81"/>
      <c r="AC218" s="81">
        <v>40000</v>
      </c>
      <c r="AD218" s="164">
        <f>SUM(S218:AC218)</f>
        <v>80000</v>
      </c>
    </row>
    <row r="219" spans="1:55" ht="43.2" x14ac:dyDescent="0.3">
      <c r="A219" s="1094"/>
      <c r="B219" s="6" t="s">
        <v>4</v>
      </c>
      <c r="C219" s="3" t="s">
        <v>40</v>
      </c>
      <c r="D219" s="882">
        <v>150000</v>
      </c>
      <c r="E219" s="882"/>
      <c r="F219" s="74">
        <v>150000</v>
      </c>
      <c r="G219" s="73">
        <f>+'F1,F2,F3,F4 (Desglose)'!H117</f>
        <v>0</v>
      </c>
      <c r="H219" s="73">
        <f>+'F1,F2,F3,F4 (Desglose)'!I117</f>
        <v>0</v>
      </c>
      <c r="I219" s="73">
        <f>+'F1,F2,F3,F4 (Desglose)'!J117</f>
        <v>65000</v>
      </c>
      <c r="J219" s="73">
        <f>+'F1,F2,F3,F4 (Desglose)'!K117</f>
        <v>0</v>
      </c>
      <c r="K219" s="73">
        <f>+'F1,F2,F3,F4 (Desglose)'!L117</f>
        <v>0</v>
      </c>
      <c r="L219" s="73">
        <f>+'F1,F2,F3,F4 (Desglose)'!M117</f>
        <v>0</v>
      </c>
      <c r="M219" s="73">
        <f>+'F1,F2,F3,F4 (Desglose)'!N117</f>
        <v>0</v>
      </c>
      <c r="N219" s="73">
        <f>+'F1,F2,F3,F4 (Desglose)'!O117</f>
        <v>25000</v>
      </c>
      <c r="O219" s="73">
        <f>+'F1,F2,F3,F4 (Desglose)'!P117</f>
        <v>0</v>
      </c>
      <c r="P219" s="73">
        <f>+'F1,F2,F3,F4 (Desglose)'!Q117</f>
        <v>0</v>
      </c>
      <c r="Q219" s="73">
        <f>+'F1,F2,F3,F4 (Desglose)'!R117</f>
        <v>0</v>
      </c>
      <c r="R219" s="164">
        <f>SUM(G219:Q219)</f>
        <v>90000</v>
      </c>
      <c r="S219" s="81">
        <f>+'F1,F2,F3,F4 (Desglose)'!T117</f>
        <v>0</v>
      </c>
      <c r="T219" s="81">
        <f>+'F1,F2,F3,F4 (Desglose)'!U117</f>
        <v>0</v>
      </c>
      <c r="U219" s="81">
        <f>+'F1,F2,F3,F4 (Desglose)'!V117</f>
        <v>35000</v>
      </c>
      <c r="V219" s="81">
        <f>+'F1,F2,F3,F4 (Desglose)'!W117</f>
        <v>0</v>
      </c>
      <c r="W219" s="81">
        <f>+'F1,F2,F3,F4 (Desglose)'!X117</f>
        <v>0</v>
      </c>
      <c r="X219" s="81">
        <f>+'F1,F2,F3,F4 (Desglose)'!Y117</f>
        <v>0</v>
      </c>
      <c r="Y219" s="81">
        <f>+'F1,F2,F3,F4 (Desglose)'!Z117</f>
        <v>0</v>
      </c>
      <c r="Z219" s="81">
        <f>+'F1,F2,F3,F4 (Desglose)'!AA117</f>
        <v>0</v>
      </c>
      <c r="AA219" s="81">
        <f>+'F1,F2,F3,F4 (Desglose)'!AB117</f>
        <v>0</v>
      </c>
      <c r="AB219" s="81">
        <f>+'F1,F2,F3,F4 (Desglose)'!AC117</f>
        <v>0</v>
      </c>
      <c r="AC219" s="81">
        <f>+'F1,F2,F3,F4 (Desglose)'!AD117</f>
        <v>25000</v>
      </c>
      <c r="AD219" s="164">
        <f>SUM(S219:AC219)</f>
        <v>60000</v>
      </c>
    </row>
    <row r="228" spans="3:18" x14ac:dyDescent="0.3">
      <c r="C228" s="871"/>
      <c r="F228" s="872"/>
      <c r="G228" s="873"/>
      <c r="H228" s="873"/>
      <c r="I228" s="873"/>
      <c r="J228" s="873"/>
      <c r="K228" s="873"/>
      <c r="L228" s="873"/>
      <c r="M228" s="873"/>
      <c r="N228" s="873"/>
      <c r="O228" s="873"/>
      <c r="P228" s="873"/>
      <c r="Q228" s="873"/>
      <c r="R228" s="874"/>
    </row>
    <row r="229" spans="3:18" x14ac:dyDescent="0.3">
      <c r="C229" s="870" t="s">
        <v>838</v>
      </c>
      <c r="F229" s="1060" t="s">
        <v>839</v>
      </c>
      <c r="G229" s="1060"/>
      <c r="H229" s="1060"/>
      <c r="I229" s="1060"/>
      <c r="J229" s="1060"/>
      <c r="K229" s="1060"/>
      <c r="L229" s="1060"/>
      <c r="M229" s="1060"/>
      <c r="N229" s="1060"/>
      <c r="O229" s="1060"/>
      <c r="P229" s="1060"/>
      <c r="Q229" s="1060"/>
      <c r="R229" s="1060"/>
    </row>
    <row r="230" spans="3:18" ht="28.8" x14ac:dyDescent="0.3">
      <c r="C230" s="869" t="s">
        <v>840</v>
      </c>
      <c r="F230" s="1061" t="s">
        <v>841</v>
      </c>
      <c r="G230" s="1061"/>
      <c r="H230" s="1061"/>
      <c r="I230" s="1061"/>
      <c r="J230" s="1061"/>
      <c r="K230" s="1061"/>
      <c r="L230" s="1061"/>
      <c r="M230" s="1061"/>
      <c r="N230" s="1061"/>
      <c r="O230" s="1061"/>
      <c r="P230" s="1061"/>
      <c r="Q230" s="1061"/>
      <c r="R230" s="1061"/>
    </row>
  </sheetData>
  <mergeCells count="57">
    <mergeCell ref="AD37:AD38"/>
    <mergeCell ref="A42:C42"/>
    <mergeCell ref="A44:A48"/>
    <mergeCell ref="A49:A63"/>
    <mergeCell ref="D37:D38"/>
    <mergeCell ref="E37:E38"/>
    <mergeCell ref="F37:F38"/>
    <mergeCell ref="G37:Q37"/>
    <mergeCell ref="R37:R38"/>
    <mergeCell ref="S37:AC37"/>
    <mergeCell ref="A176:C176"/>
    <mergeCell ref="A178:A181"/>
    <mergeCell ref="A182:A187"/>
    <mergeCell ref="A188:A193"/>
    <mergeCell ref="A194:A196"/>
    <mergeCell ref="A197:A201"/>
    <mergeCell ref="A202:C202"/>
    <mergeCell ref="A205:A209"/>
    <mergeCell ref="A210:A212"/>
    <mergeCell ref="A216:A219"/>
    <mergeCell ref="A101:A103"/>
    <mergeCell ref="F33:G33"/>
    <mergeCell ref="A70:C70"/>
    <mergeCell ref="A72:F72"/>
    <mergeCell ref="A73:A75"/>
    <mergeCell ref="A66:A69"/>
    <mergeCell ref="A77:A81"/>
    <mergeCell ref="A84:A86"/>
    <mergeCell ref="A89:A93"/>
    <mergeCell ref="A94:A96"/>
    <mergeCell ref="A97:A99"/>
    <mergeCell ref="A141:A144"/>
    <mergeCell ref="A127:AD127"/>
    <mergeCell ref="A140:AD140"/>
    <mergeCell ref="A107:C107"/>
    <mergeCell ref="A104:A106"/>
    <mergeCell ref="A110:A119"/>
    <mergeCell ref="A121:A126"/>
    <mergeCell ref="A129:A130"/>
    <mergeCell ref="A131:A135"/>
    <mergeCell ref="A136:A139"/>
    <mergeCell ref="A2:AD4"/>
    <mergeCell ref="A39:C39"/>
    <mergeCell ref="F229:R229"/>
    <mergeCell ref="F230:R230"/>
    <mergeCell ref="D26:E26"/>
    <mergeCell ref="A71:AD71"/>
    <mergeCell ref="A108:AD108"/>
    <mergeCell ref="A37:C37"/>
    <mergeCell ref="A65:C65"/>
    <mergeCell ref="A171:A173"/>
    <mergeCell ref="A145:C145"/>
    <mergeCell ref="A148:A153"/>
    <mergeCell ref="A155:A159"/>
    <mergeCell ref="A162:A163"/>
    <mergeCell ref="A164:A166"/>
    <mergeCell ref="A167:A170"/>
  </mergeCells>
  <printOptions horizontalCentered="1"/>
  <pageMargins left="0.23622047244094491" right="0.23622047244094491" top="0.74803149606299213" bottom="0.74803149606299213" header="0.31496062992125984" footer="0.31496062992125984"/>
  <pageSetup paperSize="345" scale="49" fitToHeight="12" orientation="landscape" r:id="rId1"/>
  <rowBreaks count="1" manualBreakCount="1">
    <brk id="75" max="29" man="1"/>
  </rowBreaks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W202"/>
  <sheetViews>
    <sheetView zoomScale="50" zoomScaleNormal="50" workbookViewId="0">
      <pane xSplit="6" ySplit="22" topLeftCell="G23" activePane="bottomRight" state="frozen"/>
      <selection pane="topRight" activeCell="G1" sqref="G1"/>
      <selection pane="bottomLeft" activeCell="A8" sqref="A8"/>
      <selection pane="bottomRight" activeCell="K194" sqref="K193:K194"/>
    </sheetView>
  </sheetViews>
  <sheetFormatPr baseColWidth="10" defaultRowHeight="14.4" x14ac:dyDescent="0.3"/>
  <cols>
    <col min="1" max="1" width="16.88671875" style="51" customWidth="1"/>
    <col min="2" max="2" width="4.6640625" style="31" customWidth="1"/>
    <col min="3" max="3" width="32.33203125" style="109" customWidth="1"/>
    <col min="4" max="4" width="26.33203125" style="4" hidden="1" customWidth="1"/>
    <col min="5" max="5" width="29" style="4" hidden="1" customWidth="1"/>
    <col min="6" max="6" width="24.6640625" style="161" hidden="1" customWidth="1"/>
    <col min="7" max="7" width="22" style="4" bestFit="1" customWidth="1"/>
    <col min="8" max="8" width="22.5546875" style="4" bestFit="1" customWidth="1"/>
    <col min="9" max="9" width="20.5546875" style="4" bestFit="1" customWidth="1"/>
    <col min="10" max="10" width="23.44140625" style="4" bestFit="1" customWidth="1"/>
    <col min="11" max="11" width="22.109375" style="4" bestFit="1" customWidth="1"/>
    <col min="12" max="12" width="20.5546875" style="4" bestFit="1" customWidth="1"/>
    <col min="13" max="13" width="23.44140625" style="4" customWidth="1"/>
    <col min="14" max="14" width="23" style="4" bestFit="1" customWidth="1"/>
    <col min="15" max="17" width="23.44140625" style="4" bestFit="1" customWidth="1"/>
    <col min="18" max="18" width="25.88671875" style="59" bestFit="1" customWidth="1"/>
    <col min="19" max="19" width="20.5546875" style="4" bestFit="1" customWidth="1"/>
    <col min="20" max="20" width="23.44140625" style="4" bestFit="1" customWidth="1"/>
    <col min="21" max="21" width="22" style="4" customWidth="1"/>
    <col min="22" max="22" width="21.5546875" style="4" customWidth="1"/>
    <col min="23" max="25" width="22" style="4" customWidth="1"/>
    <col min="26" max="26" width="21.5546875" style="4" customWidth="1"/>
    <col min="27" max="27" width="22" style="4" customWidth="1"/>
    <col min="28" max="28" width="21.5546875" style="4" customWidth="1"/>
    <col min="29" max="29" width="22.5546875" style="4" customWidth="1"/>
    <col min="30" max="30" width="25" style="59" customWidth="1"/>
  </cols>
  <sheetData>
    <row r="1" spans="1:49" s="370" customFormat="1" x14ac:dyDescent="0.3">
      <c r="A1" s="816"/>
      <c r="B1" s="762"/>
      <c r="C1" s="817"/>
      <c r="D1" s="9"/>
      <c r="E1" s="9"/>
      <c r="F1" s="818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55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55"/>
    </row>
    <row r="2" spans="1:49" s="370" customFormat="1" ht="18" customHeight="1" x14ac:dyDescent="0.3">
      <c r="A2" s="1128" t="s">
        <v>47</v>
      </c>
      <c r="B2" s="1128"/>
      <c r="C2" s="1128"/>
      <c r="D2" s="1128"/>
      <c r="E2" s="1128"/>
      <c r="F2" s="1128"/>
      <c r="G2" s="1128"/>
      <c r="H2" s="1122" t="s">
        <v>793</v>
      </c>
      <c r="I2" s="1122"/>
      <c r="J2" s="1124" t="s">
        <v>794</v>
      </c>
      <c r="K2" s="1124"/>
      <c r="L2" s="1124"/>
      <c r="M2" s="1124"/>
      <c r="N2" s="925"/>
      <c r="O2" s="819"/>
      <c r="P2" s="819"/>
      <c r="Q2" s="819"/>
      <c r="R2" s="819"/>
      <c r="S2" s="819"/>
      <c r="V2" s="9"/>
      <c r="W2" s="9"/>
      <c r="X2" s="9"/>
      <c r="Y2" s="9"/>
      <c r="Z2" s="9"/>
      <c r="AA2" s="9"/>
      <c r="AB2" s="9"/>
      <c r="AC2" s="9"/>
      <c r="AD2" s="9"/>
      <c r="AE2" s="55"/>
    </row>
    <row r="3" spans="1:49" s="370" customFormat="1" ht="18.75" customHeight="1" x14ac:dyDescent="0.3">
      <c r="A3" s="842"/>
      <c r="B3" s="842"/>
      <c r="C3" s="842"/>
      <c r="D3" s="842"/>
      <c r="E3" s="842"/>
      <c r="F3" s="842"/>
      <c r="G3" s="842"/>
      <c r="H3" s="1122" t="s">
        <v>795</v>
      </c>
      <c r="I3" s="1122"/>
      <c r="J3" s="1125" t="s">
        <v>796</v>
      </c>
      <c r="K3" s="1125"/>
      <c r="L3" s="1125"/>
      <c r="M3" s="1125"/>
      <c r="N3" s="925"/>
      <c r="O3" s="819"/>
      <c r="P3" s="950"/>
      <c r="Q3" s="950"/>
      <c r="R3" s="950"/>
      <c r="S3" s="950"/>
      <c r="V3" s="9"/>
      <c r="W3" s="9"/>
      <c r="X3" s="9"/>
      <c r="Y3" s="9"/>
      <c r="Z3" s="9"/>
      <c r="AA3" s="9"/>
      <c r="AB3" s="9"/>
      <c r="AC3" s="9"/>
      <c r="AD3" s="9"/>
      <c r="AE3" s="55"/>
    </row>
    <row r="4" spans="1:49" s="370" customFormat="1" ht="15.75" customHeight="1" x14ac:dyDescent="0.25">
      <c r="A4" s="816"/>
      <c r="B4" s="762"/>
      <c r="C4" s="817"/>
      <c r="D4" s="9"/>
      <c r="E4" s="9"/>
      <c r="F4" s="818"/>
      <c r="G4" s="818"/>
      <c r="H4" s="1122" t="s">
        <v>797</v>
      </c>
      <c r="I4" s="1122"/>
      <c r="J4" s="925" t="s">
        <v>798</v>
      </c>
      <c r="K4" s="925"/>
      <c r="L4" s="925"/>
      <c r="M4" s="925"/>
      <c r="N4" s="925"/>
      <c r="O4" s="819"/>
      <c r="P4" s="950"/>
      <c r="Q4" s="950"/>
      <c r="R4" s="950"/>
      <c r="S4" s="950"/>
      <c r="V4" s="9"/>
      <c r="W4" s="9"/>
      <c r="X4" s="9"/>
      <c r="Y4" s="9"/>
      <c r="Z4" s="9"/>
      <c r="AA4" s="9"/>
      <c r="AB4" s="9"/>
      <c r="AC4" s="9"/>
      <c r="AD4" s="9"/>
      <c r="AE4" s="55"/>
    </row>
    <row r="5" spans="1:49" s="370" customFormat="1" ht="15.6" x14ac:dyDescent="0.3">
      <c r="A5" s="816"/>
      <c r="B5" s="762"/>
      <c r="C5" s="817"/>
      <c r="D5" s="9"/>
      <c r="E5" s="9"/>
      <c r="F5" s="818"/>
      <c r="G5" s="818"/>
      <c r="H5" s="1122" t="s">
        <v>799</v>
      </c>
      <c r="I5" s="1122"/>
      <c r="J5" s="925">
        <v>2021</v>
      </c>
      <c r="K5" s="925"/>
      <c r="L5" s="925"/>
      <c r="M5" s="925"/>
      <c r="N5" s="925"/>
      <c r="O5" s="819"/>
      <c r="P5" s="950"/>
      <c r="Q5" s="950"/>
      <c r="R5" s="950"/>
      <c r="S5" s="950"/>
      <c r="V5" s="9"/>
      <c r="W5" s="9"/>
      <c r="X5" s="9"/>
      <c r="Y5" s="9"/>
      <c r="Z5" s="9"/>
      <c r="AA5" s="9"/>
      <c r="AB5" s="9"/>
      <c r="AC5" s="9"/>
      <c r="AD5" s="9"/>
      <c r="AE5" s="55"/>
    </row>
    <row r="6" spans="1:49" s="370" customFormat="1" ht="15.6" customHeight="1" x14ac:dyDescent="0.3">
      <c r="A6" s="816"/>
      <c r="B6" s="762"/>
      <c r="C6" s="817"/>
      <c r="D6" s="9"/>
      <c r="E6" s="9"/>
      <c r="F6" s="818"/>
      <c r="G6" s="818"/>
      <c r="H6" s="1122" t="s">
        <v>800</v>
      </c>
      <c r="I6" s="1122"/>
      <c r="J6" s="952">
        <v>43227</v>
      </c>
      <c r="K6" s="952"/>
      <c r="L6" s="952"/>
      <c r="M6" s="952"/>
      <c r="N6" s="952"/>
      <c r="O6" s="819"/>
      <c r="P6" s="950"/>
      <c r="Q6" s="950"/>
      <c r="R6" s="950"/>
      <c r="S6" s="950"/>
      <c r="V6" s="9"/>
      <c r="W6" s="9"/>
      <c r="X6" s="9"/>
      <c r="Y6" s="9"/>
      <c r="Z6" s="9"/>
      <c r="AA6" s="9"/>
      <c r="AB6" s="9"/>
      <c r="AC6" s="9"/>
      <c r="AD6" s="9"/>
      <c r="AE6" s="55"/>
    </row>
    <row r="7" spans="1:49" s="370" customFormat="1" ht="15.6" customHeight="1" x14ac:dyDescent="0.3">
      <c r="A7" s="816"/>
      <c r="B7" s="762"/>
      <c r="C7" s="817"/>
      <c r="D7" s="9"/>
      <c r="E7" s="9"/>
      <c r="F7" s="818"/>
      <c r="G7" s="818"/>
      <c r="H7" s="1122" t="s">
        <v>806</v>
      </c>
      <c r="I7" s="1122"/>
      <c r="J7" s="952">
        <v>44156</v>
      </c>
      <c r="K7" s="952"/>
      <c r="L7" s="952"/>
      <c r="M7" s="952"/>
      <c r="N7" s="952"/>
      <c r="O7" s="819"/>
      <c r="P7" s="950"/>
      <c r="Q7" s="950"/>
      <c r="R7" s="950"/>
      <c r="S7" s="950"/>
      <c r="V7" s="9"/>
      <c r="W7" s="9"/>
      <c r="X7" s="9"/>
      <c r="Y7" s="9"/>
      <c r="Z7" s="9"/>
      <c r="AA7" s="9"/>
      <c r="AB7" s="9"/>
      <c r="AC7" s="9"/>
      <c r="AD7" s="9"/>
      <c r="AE7" s="55"/>
    </row>
    <row r="8" spans="1:49" s="370" customFormat="1" ht="38.4" customHeight="1" x14ac:dyDescent="0.3">
      <c r="A8" s="816"/>
      <c r="B8" s="762"/>
      <c r="C8" s="817"/>
      <c r="D8" s="9"/>
      <c r="E8" s="9"/>
      <c r="F8" s="818"/>
      <c r="G8" s="818"/>
      <c r="H8" s="1122" t="s">
        <v>807</v>
      </c>
      <c r="I8" s="1122"/>
      <c r="J8" s="952">
        <v>44886</v>
      </c>
      <c r="K8" s="952"/>
      <c r="L8" s="952"/>
      <c r="M8" s="952"/>
      <c r="N8" s="952"/>
      <c r="O8" s="819"/>
      <c r="P8" s="950"/>
      <c r="Q8" s="950"/>
      <c r="R8" s="950"/>
      <c r="S8" s="950"/>
      <c r="V8" s="9"/>
      <c r="W8" s="9"/>
      <c r="X8" s="9"/>
      <c r="Y8" s="9"/>
      <c r="Z8" s="9"/>
      <c r="AA8" s="9"/>
      <c r="AB8" s="9"/>
      <c r="AC8" s="9"/>
      <c r="AD8" s="9"/>
      <c r="AE8" s="55"/>
    </row>
    <row r="9" spans="1:49" s="370" customFormat="1" ht="15.75" customHeight="1" x14ac:dyDescent="0.3">
      <c r="A9" s="816"/>
      <c r="B9" s="762"/>
      <c r="C9" s="817"/>
      <c r="D9" s="9"/>
      <c r="E9" s="9"/>
      <c r="F9" s="818"/>
      <c r="G9" s="818"/>
      <c r="H9" s="1122" t="s">
        <v>815</v>
      </c>
      <c r="I9" s="1122"/>
      <c r="J9" s="925" t="s">
        <v>849</v>
      </c>
      <c r="K9" s="925"/>
      <c r="L9" s="925"/>
      <c r="M9" s="925"/>
      <c r="N9" s="925"/>
      <c r="O9" s="819"/>
      <c r="P9" s="950"/>
      <c r="Q9" s="950"/>
      <c r="R9" s="950"/>
      <c r="S9" s="950"/>
      <c r="V9" s="9"/>
      <c r="W9" s="9"/>
      <c r="X9" s="9"/>
      <c r="Y9" s="9"/>
      <c r="Z9" s="9"/>
      <c r="AA9" s="9"/>
      <c r="AB9" s="9"/>
      <c r="AC9" s="9"/>
      <c r="AD9" s="9"/>
      <c r="AE9" s="55"/>
    </row>
    <row r="10" spans="1:49" s="370" customFormat="1" ht="15.6" customHeight="1" x14ac:dyDescent="0.3">
      <c r="A10" s="816"/>
      <c r="B10" s="762"/>
      <c r="C10" s="817"/>
      <c r="D10" s="9"/>
      <c r="E10" s="9"/>
      <c r="F10" s="818"/>
      <c r="G10" s="818"/>
      <c r="H10" s="1122" t="s">
        <v>811</v>
      </c>
      <c r="I10" s="1122"/>
      <c r="J10" s="1129" t="s">
        <v>813</v>
      </c>
      <c r="K10" s="1130"/>
      <c r="L10" s="1129" t="s">
        <v>814</v>
      </c>
      <c r="M10" s="1130"/>
      <c r="N10" s="1129" t="s">
        <v>648</v>
      </c>
      <c r="O10" s="1130"/>
      <c r="P10" s="1129" t="s">
        <v>780</v>
      </c>
      <c r="Q10" s="1130"/>
      <c r="R10" s="1126" t="s">
        <v>850</v>
      </c>
      <c r="S10" s="1127"/>
      <c r="V10" s="9"/>
      <c r="W10" s="9"/>
      <c r="X10" s="9"/>
      <c r="Y10" s="9"/>
      <c r="Z10" s="9"/>
      <c r="AA10" s="9"/>
      <c r="AB10" s="9"/>
      <c r="AC10" s="9"/>
      <c r="AD10" s="9"/>
      <c r="AE10" s="55"/>
    </row>
    <row r="11" spans="1:49" s="370" customFormat="1" ht="15.6" customHeight="1" x14ac:dyDescent="0.3">
      <c r="A11" s="816"/>
      <c r="B11" s="762"/>
      <c r="C11" s="817"/>
      <c r="D11" s="9"/>
      <c r="E11" s="9"/>
      <c r="F11" s="818"/>
      <c r="G11" s="818"/>
      <c r="H11" s="1122" t="s">
        <v>801</v>
      </c>
      <c r="I11" s="1122"/>
      <c r="J11" s="942">
        <v>1924067.65</v>
      </c>
      <c r="K11" s="827">
        <f>+J11/8.8858512</f>
        <v>216531.60813676467</v>
      </c>
      <c r="L11" s="835">
        <v>949780.92</v>
      </c>
      <c r="M11" s="827">
        <f>+L11/9.497809</f>
        <v>100000.00210574882</v>
      </c>
      <c r="N11" s="839">
        <f>+O11*9.35</f>
        <v>4675000</v>
      </c>
      <c r="O11" s="827">
        <v>500000</v>
      </c>
      <c r="P11" s="839">
        <f>+Q11*9.35</f>
        <v>18700000</v>
      </c>
      <c r="Q11" s="827">
        <v>2000000</v>
      </c>
      <c r="R11" s="839">
        <f>+J11+L11+N11+P11</f>
        <v>26248848.57</v>
      </c>
      <c r="S11" s="953">
        <f>+K11+M11+O11+Q11</f>
        <v>2816531.6102425135</v>
      </c>
      <c r="V11" s="9"/>
      <c r="W11" s="9"/>
      <c r="X11" s="9"/>
      <c r="Y11" s="9"/>
      <c r="Z11" s="9"/>
      <c r="AA11" s="9"/>
      <c r="AB11" s="9"/>
      <c r="AC11" s="9"/>
      <c r="AD11" s="9"/>
      <c r="AE11" s="55"/>
    </row>
    <row r="12" spans="1:49" s="370" customFormat="1" ht="15.6" customHeight="1" x14ac:dyDescent="0.25">
      <c r="A12" s="816"/>
      <c r="B12" s="762"/>
      <c r="C12" s="817"/>
      <c r="D12" s="9"/>
      <c r="E12" s="9"/>
      <c r="F12" s="818"/>
      <c r="G12" s="818"/>
      <c r="H12" s="1122" t="s">
        <v>802</v>
      </c>
      <c r="I12" s="1122"/>
      <c r="J12" s="943">
        <v>24440.6</v>
      </c>
      <c r="K12" s="820">
        <f>+J12/8.8858512</f>
        <v>2750.5074584188401</v>
      </c>
      <c r="L12" s="836">
        <v>4271839.8</v>
      </c>
      <c r="M12" s="820">
        <f>+L12/9.4929773</f>
        <v>450000.00158011541</v>
      </c>
      <c r="N12" s="840">
        <f>+O12*9.35</f>
        <v>4675000</v>
      </c>
      <c r="O12" s="820">
        <v>500000</v>
      </c>
      <c r="P12" s="840">
        <f>+Q12*9.35</f>
        <v>18700000</v>
      </c>
      <c r="Q12" s="820">
        <v>2000000</v>
      </c>
      <c r="R12" s="840">
        <f>+J12+L12+N12+P12</f>
        <v>27671280.399999999</v>
      </c>
      <c r="S12" s="954">
        <f>+K12+M12+O12+Q12</f>
        <v>2952750.509038534</v>
      </c>
      <c r="V12" s="9"/>
      <c r="W12" s="9"/>
      <c r="X12" s="9"/>
      <c r="Y12" s="9"/>
      <c r="Z12" s="9"/>
      <c r="AA12" s="9"/>
      <c r="AB12" s="9"/>
      <c r="AC12" s="9"/>
      <c r="AD12" s="9"/>
      <c r="AE12" s="55"/>
    </row>
    <row r="13" spans="1:49" s="370" customFormat="1" ht="15.6" x14ac:dyDescent="0.3">
      <c r="A13" s="816"/>
      <c r="B13" s="762"/>
      <c r="C13" s="817"/>
      <c r="D13" s="9"/>
      <c r="E13" s="9"/>
      <c r="F13" s="818"/>
      <c r="G13" s="818"/>
      <c r="H13" s="1122" t="s">
        <v>812</v>
      </c>
      <c r="I13" s="1122"/>
      <c r="J13" s="834">
        <f>SUM(J11:J12)</f>
        <v>1948508.25</v>
      </c>
      <c r="K13" s="828">
        <f>SUM(K11:K12)</f>
        <v>219282.11559518351</v>
      </c>
      <c r="L13" s="837">
        <f t="shared" ref="L13:Q13" si="0">SUM(L11:L12)</f>
        <v>5221620.72</v>
      </c>
      <c r="M13" s="828">
        <f>SUM(M11:M12)</f>
        <v>550000.00368586427</v>
      </c>
      <c r="N13" s="841">
        <f t="shared" si="0"/>
        <v>9350000</v>
      </c>
      <c r="O13" s="828">
        <f t="shared" si="0"/>
        <v>1000000</v>
      </c>
      <c r="P13" s="841">
        <f t="shared" si="0"/>
        <v>37400000</v>
      </c>
      <c r="Q13" s="828">
        <f t="shared" si="0"/>
        <v>4000000</v>
      </c>
      <c r="R13" s="841">
        <f t="shared" ref="R13" si="1">SUM(R11:R12)</f>
        <v>53920128.969999999</v>
      </c>
      <c r="S13" s="955">
        <f t="shared" ref="S13" si="2">SUM(S11:S12)</f>
        <v>5769282.119281048</v>
      </c>
      <c r="V13" s="9"/>
      <c r="W13" s="9"/>
      <c r="X13" s="9"/>
      <c r="Y13" s="9"/>
      <c r="Z13" s="9"/>
      <c r="AA13" s="9"/>
      <c r="AB13" s="9"/>
      <c r="AC13" s="9"/>
      <c r="AD13" s="9"/>
      <c r="AE13" s="55"/>
    </row>
    <row r="14" spans="1:49" s="370" customFormat="1" ht="15.6" x14ac:dyDescent="0.3">
      <c r="A14" s="816"/>
      <c r="B14" s="923"/>
      <c r="C14" s="817"/>
      <c r="D14" s="9"/>
      <c r="E14" s="9"/>
      <c r="F14" s="818"/>
      <c r="G14" s="818"/>
      <c r="H14" s="931" t="s">
        <v>851</v>
      </c>
      <c r="I14" s="932"/>
      <c r="J14" s="934">
        <f>+J13/K13</f>
        <v>8.8858511999999994</v>
      </c>
      <c r="K14" s="935"/>
      <c r="L14" s="936">
        <f>+L13/M13</f>
        <v>9.4938557909217014</v>
      </c>
      <c r="M14" s="937"/>
      <c r="N14" s="936">
        <f>+N13/O13</f>
        <v>9.35</v>
      </c>
      <c r="O14" s="937"/>
      <c r="P14" s="936">
        <f>+P13/Q13</f>
        <v>9.35</v>
      </c>
      <c r="Q14" s="945"/>
      <c r="R14" s="936">
        <f>+R13/S13</f>
        <v>9.3460725017759021</v>
      </c>
      <c r="S14" s="946"/>
      <c r="V14" s="313"/>
      <c r="W14" s="313"/>
      <c r="X14" s="313"/>
      <c r="Y14" s="947"/>
      <c r="Z14" s="313"/>
      <c r="AA14" s="313"/>
      <c r="AB14" s="313"/>
      <c r="AC14" s="313"/>
      <c r="AD14" s="948"/>
      <c r="AE14" s="315"/>
      <c r="AF14" s="315"/>
      <c r="AG14" s="315"/>
      <c r="AH14" s="315"/>
      <c r="AI14" s="315"/>
      <c r="AJ14" s="315"/>
      <c r="AK14" s="949"/>
      <c r="AL14" s="315"/>
      <c r="AM14" s="315"/>
      <c r="AN14" s="315"/>
      <c r="AO14" s="315"/>
      <c r="AP14" s="315"/>
      <c r="AQ14" s="315"/>
      <c r="AR14" s="315"/>
      <c r="AS14" s="315"/>
      <c r="AT14" s="315"/>
      <c r="AU14" s="315"/>
      <c r="AV14" s="315"/>
      <c r="AW14" s="315"/>
    </row>
    <row r="15" spans="1:49" s="370" customFormat="1" ht="15.6" customHeight="1" x14ac:dyDescent="0.3">
      <c r="A15" s="816"/>
      <c r="B15" s="762"/>
      <c r="C15" s="817"/>
      <c r="D15" s="9"/>
      <c r="E15" s="9"/>
      <c r="F15" s="818"/>
      <c r="G15" s="818"/>
      <c r="H15" s="1122" t="s">
        <v>803</v>
      </c>
      <c r="I15" s="1122"/>
      <c r="J15" s="856">
        <v>1.1981999999999999</v>
      </c>
      <c r="K15" s="856"/>
      <c r="L15" s="924"/>
      <c r="M15" s="924"/>
      <c r="N15" s="924"/>
      <c r="O15" s="924"/>
      <c r="P15" s="951"/>
      <c r="Q15" s="951"/>
      <c r="R15" s="832"/>
      <c r="S15" s="832"/>
      <c r="V15" s="9"/>
      <c r="W15" s="9"/>
      <c r="X15" s="9"/>
      <c r="Y15" s="9"/>
      <c r="Z15" s="9"/>
      <c r="AA15" s="9"/>
      <c r="AB15" s="9"/>
      <c r="AC15" s="9"/>
      <c r="AD15" s="9"/>
      <c r="AE15" s="55"/>
    </row>
    <row r="16" spans="1:49" s="370" customFormat="1" ht="15.6" customHeight="1" x14ac:dyDescent="0.3">
      <c r="A16" s="816"/>
      <c r="B16" s="762"/>
      <c r="C16" s="817"/>
      <c r="D16" s="9"/>
      <c r="E16" s="9"/>
      <c r="F16" s="818"/>
      <c r="G16" s="818"/>
      <c r="H16" s="1122" t="s">
        <v>804</v>
      </c>
      <c r="I16" s="1122"/>
      <c r="J16" s="927">
        <v>7.4160000000000004</v>
      </c>
      <c r="K16" s="927"/>
      <c r="L16" s="924"/>
      <c r="M16" s="924"/>
      <c r="N16" s="928"/>
      <c r="O16" s="928"/>
      <c r="P16" s="832"/>
      <c r="Q16" s="832"/>
      <c r="R16" s="832"/>
      <c r="S16" s="832"/>
      <c r="V16" s="9"/>
      <c r="W16" s="9"/>
      <c r="X16" s="9"/>
      <c r="Y16" s="9"/>
      <c r="Z16" s="9"/>
      <c r="AA16" s="9"/>
      <c r="AB16" s="9"/>
      <c r="AC16" s="9"/>
      <c r="AD16" s="9"/>
      <c r="AE16" s="55"/>
    </row>
    <row r="17" spans="1:31" s="370" customFormat="1" ht="15.6" customHeight="1" x14ac:dyDescent="0.25">
      <c r="A17" s="816"/>
      <c r="B17" s="762"/>
      <c r="C17" s="817"/>
      <c r="D17" s="9"/>
      <c r="E17" s="9"/>
      <c r="F17" s="818"/>
      <c r="G17" s="818"/>
      <c r="H17" s="1122" t="s">
        <v>809</v>
      </c>
      <c r="I17" s="1122"/>
      <c r="J17" s="821" t="s">
        <v>808</v>
      </c>
      <c r="K17" s="821"/>
      <c r="L17" s="924"/>
      <c r="M17" s="924"/>
      <c r="N17" s="821"/>
      <c r="O17" s="821"/>
      <c r="P17" s="821"/>
      <c r="Q17" s="821"/>
      <c r="R17" s="821"/>
      <c r="S17" s="819"/>
      <c r="V17" s="9"/>
      <c r="W17" s="9"/>
      <c r="X17" s="9"/>
      <c r="Y17" s="9"/>
      <c r="Z17" s="9"/>
      <c r="AA17" s="9"/>
      <c r="AB17" s="9"/>
      <c r="AC17" s="9"/>
      <c r="AD17" s="9"/>
      <c r="AE17" s="55"/>
    </row>
    <row r="18" spans="1:31" s="370" customFormat="1" ht="15.6" customHeight="1" x14ac:dyDescent="0.25">
      <c r="A18" s="816"/>
      <c r="B18" s="762"/>
      <c r="C18" s="817"/>
      <c r="D18" s="9"/>
      <c r="E18" s="9"/>
      <c r="F18" s="818"/>
      <c r="G18" s="818"/>
      <c r="H18" s="1122" t="s">
        <v>805</v>
      </c>
      <c r="I18" s="1122"/>
      <c r="J18" s="926" t="s">
        <v>810</v>
      </c>
      <c r="K18" s="926"/>
      <c r="L18" s="821"/>
      <c r="M18" s="821"/>
      <c r="N18" s="821"/>
      <c r="O18" s="821"/>
      <c r="P18" s="821"/>
      <c r="Q18" s="821"/>
      <c r="R18" s="821"/>
      <c r="S18" s="819"/>
      <c r="V18" s="9"/>
      <c r="W18" s="9"/>
      <c r="X18" s="9"/>
      <c r="Y18" s="9"/>
      <c r="Z18" s="9"/>
      <c r="AA18" s="9"/>
      <c r="AB18" s="9"/>
      <c r="AC18" s="9"/>
      <c r="AD18" s="9"/>
      <c r="AE18" s="55"/>
    </row>
    <row r="19" spans="1:31" s="370" customFormat="1" ht="15" x14ac:dyDescent="0.25">
      <c r="A19" s="816"/>
      <c r="B19" s="762"/>
      <c r="C19" s="817"/>
      <c r="D19" s="9"/>
      <c r="E19" s="9"/>
      <c r="F19" s="818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55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55"/>
    </row>
    <row r="20" spans="1:31" ht="21" customHeight="1" x14ac:dyDescent="0.3">
      <c r="A20" s="125" t="s">
        <v>48</v>
      </c>
      <c r="B20" s="37"/>
      <c r="C20" s="124"/>
      <c r="D20" s="1106" t="s">
        <v>43</v>
      </c>
      <c r="E20" s="1106" t="s">
        <v>44</v>
      </c>
      <c r="F20" s="1107" t="s">
        <v>85</v>
      </c>
      <c r="G20" s="1123"/>
      <c r="H20" s="1123"/>
      <c r="I20" s="1123"/>
      <c r="J20" s="1123"/>
      <c r="K20" s="1123"/>
      <c r="L20" s="1123"/>
      <c r="M20" s="1123"/>
      <c r="N20" s="1123"/>
      <c r="O20" s="1123"/>
      <c r="P20" s="1123"/>
      <c r="Q20" s="1123"/>
      <c r="R20" s="1101" t="s">
        <v>41</v>
      </c>
      <c r="S20" s="1111">
        <v>2022</v>
      </c>
      <c r="T20" s="1111"/>
      <c r="U20" s="1111"/>
      <c r="V20" s="1111"/>
      <c r="W20" s="1111"/>
      <c r="X20" s="1111"/>
      <c r="Y20" s="1111"/>
      <c r="Z20" s="1111"/>
      <c r="AA20" s="1111"/>
      <c r="AB20" s="1111"/>
      <c r="AC20" s="1111"/>
      <c r="AD20" s="1101" t="s">
        <v>42</v>
      </c>
    </row>
    <row r="21" spans="1:31" s="89" customFormat="1" ht="39.75" customHeight="1" x14ac:dyDescent="0.3">
      <c r="A21" s="119" t="s">
        <v>49</v>
      </c>
      <c r="B21" s="120" t="s">
        <v>50</v>
      </c>
      <c r="C21" s="121" t="s">
        <v>51</v>
      </c>
      <c r="D21" s="1106"/>
      <c r="E21" s="1106"/>
      <c r="F21" s="1107"/>
      <c r="G21" s="122">
        <v>44228</v>
      </c>
      <c r="H21" s="122">
        <v>44256</v>
      </c>
      <c r="I21" s="122">
        <v>44287</v>
      </c>
      <c r="J21" s="122">
        <v>44317</v>
      </c>
      <c r="K21" s="122">
        <v>44348</v>
      </c>
      <c r="L21" s="122">
        <v>44378</v>
      </c>
      <c r="M21" s="122">
        <v>44409</v>
      </c>
      <c r="N21" s="122">
        <v>44440</v>
      </c>
      <c r="O21" s="122">
        <v>44470</v>
      </c>
      <c r="P21" s="122">
        <v>44501</v>
      </c>
      <c r="Q21" s="122">
        <v>44531</v>
      </c>
      <c r="R21" s="1101"/>
      <c r="S21" s="123">
        <v>44562</v>
      </c>
      <c r="T21" s="122">
        <v>44593</v>
      </c>
      <c r="U21" s="122">
        <v>44621</v>
      </c>
      <c r="V21" s="122">
        <v>44652</v>
      </c>
      <c r="W21" s="122">
        <v>44682</v>
      </c>
      <c r="X21" s="122">
        <v>44713</v>
      </c>
      <c r="Y21" s="122">
        <v>44743</v>
      </c>
      <c r="Z21" s="122">
        <v>44774</v>
      </c>
      <c r="AA21" s="122">
        <v>44805</v>
      </c>
      <c r="AB21" s="122">
        <v>44835</v>
      </c>
      <c r="AC21" s="122">
        <v>44866</v>
      </c>
      <c r="AD21" s="1101"/>
    </row>
    <row r="22" spans="1:31" s="137" customFormat="1" ht="37.950000000000003" customHeight="1" x14ac:dyDescent="0.25">
      <c r="A22" s="411"/>
      <c r="B22" s="412"/>
      <c r="C22" s="413"/>
      <c r="D22" s="414">
        <f>+D24+D157+D185+D196+D53+D90+D128</f>
        <v>27671280.399999999</v>
      </c>
      <c r="E22" s="414">
        <f t="shared" ref="E22:AD22" si="3">+E24+E157+E185+E196+E53+E90+E128</f>
        <v>26248848.57</v>
      </c>
      <c r="F22" s="414">
        <f t="shared" si="3"/>
        <v>53920128.970000006</v>
      </c>
      <c r="G22" s="414">
        <f t="shared" si="3"/>
        <v>685110.17999999993</v>
      </c>
      <c r="H22" s="414">
        <f t="shared" si="3"/>
        <v>1348035.01</v>
      </c>
      <c r="I22" s="414">
        <f t="shared" si="3"/>
        <v>820430.41</v>
      </c>
      <c r="J22" s="414">
        <f t="shared" si="3"/>
        <v>2299984.92</v>
      </c>
      <c r="K22" s="414">
        <f t="shared" si="3"/>
        <v>1153815.03</v>
      </c>
      <c r="L22" s="414">
        <f t="shared" si="3"/>
        <v>890517.95333333337</v>
      </c>
      <c r="M22" s="414">
        <f t="shared" si="3"/>
        <v>2320546.2200000002</v>
      </c>
      <c r="N22" s="414">
        <f t="shared" si="3"/>
        <v>4407313.63</v>
      </c>
      <c r="O22" s="414">
        <f t="shared" si="3"/>
        <v>2594375.62</v>
      </c>
      <c r="P22" s="414">
        <f t="shared" si="3"/>
        <v>5084038.07</v>
      </c>
      <c r="Q22" s="414">
        <f t="shared" si="3"/>
        <v>2934548.3533333335</v>
      </c>
      <c r="R22" s="414">
        <f t="shared" si="3"/>
        <v>24538715.396666668</v>
      </c>
      <c r="S22" s="414">
        <f t="shared" si="3"/>
        <v>861397.12</v>
      </c>
      <c r="T22" s="414">
        <f t="shared" si="3"/>
        <v>4488376.8599999994</v>
      </c>
      <c r="U22" s="414">
        <f t="shared" si="3"/>
        <v>6070283.6200000001</v>
      </c>
      <c r="V22" s="414">
        <f t="shared" si="3"/>
        <v>6061975.1200000001</v>
      </c>
      <c r="W22" s="414">
        <f t="shared" si="3"/>
        <v>2336447.12</v>
      </c>
      <c r="X22" s="414">
        <f t="shared" si="3"/>
        <v>2988059.62</v>
      </c>
      <c r="Y22" s="414">
        <f t="shared" si="3"/>
        <v>1429058.22</v>
      </c>
      <c r="Z22" s="414">
        <f t="shared" si="3"/>
        <v>1400906.77</v>
      </c>
      <c r="AA22" s="414">
        <f t="shared" si="3"/>
        <v>1319862.8</v>
      </c>
      <c r="AB22" s="414">
        <f t="shared" si="3"/>
        <v>1111397.1200000001</v>
      </c>
      <c r="AC22" s="414">
        <f t="shared" si="3"/>
        <v>1313649.2033333331</v>
      </c>
      <c r="AD22" s="414">
        <f t="shared" si="3"/>
        <v>29381413.57333333</v>
      </c>
    </row>
    <row r="23" spans="1:31" s="424" customFormat="1" ht="12" customHeight="1" x14ac:dyDescent="0.25">
      <c r="A23" s="420"/>
      <c r="B23" s="421"/>
      <c r="C23" s="422"/>
      <c r="D23" s="423"/>
      <c r="E23" s="423"/>
      <c r="F23" s="423">
        <v>8909796.3200000003</v>
      </c>
      <c r="G23" s="423"/>
      <c r="H23" s="423"/>
      <c r="I23" s="423"/>
      <c r="J23" s="423"/>
      <c r="K23" s="423"/>
      <c r="L23" s="423"/>
      <c r="M23" s="423"/>
      <c r="N23" s="423"/>
      <c r="O23" s="423"/>
      <c r="P23" s="423"/>
      <c r="Q23" s="423"/>
      <c r="R23" s="423"/>
      <c r="S23" s="423"/>
      <c r="T23" s="423"/>
      <c r="U23" s="423"/>
      <c r="V23" s="423"/>
      <c r="W23" s="423"/>
      <c r="X23" s="423"/>
      <c r="Y23" s="423"/>
      <c r="Z23" s="423"/>
      <c r="AA23" s="423"/>
      <c r="AB23" s="423"/>
      <c r="AC23" s="423"/>
      <c r="AD23" s="423"/>
    </row>
    <row r="24" spans="1:31" s="89" customFormat="1" ht="30" hidden="1" customHeight="1" x14ac:dyDescent="0.25">
      <c r="A24" s="415" t="s">
        <v>77</v>
      </c>
      <c r="B24" s="416"/>
      <c r="C24" s="417"/>
      <c r="D24" s="418">
        <f t="shared" ref="D24:AD24" si="4">+D26+D47</f>
        <v>3914155.7199999997</v>
      </c>
      <c r="E24" s="418">
        <f t="shared" si="4"/>
        <v>180000</v>
      </c>
      <c r="F24" s="418">
        <f t="shared" si="4"/>
        <v>4094155.7199999997</v>
      </c>
      <c r="G24" s="418">
        <f t="shared" si="4"/>
        <v>133958.12</v>
      </c>
      <c r="H24" s="418">
        <f t="shared" si="4"/>
        <v>141333.12</v>
      </c>
      <c r="I24" s="418">
        <f t="shared" si="4"/>
        <v>217869.16</v>
      </c>
      <c r="J24" s="418">
        <f t="shared" si="4"/>
        <v>199080</v>
      </c>
      <c r="K24" s="418">
        <f t="shared" si="4"/>
        <v>170741.03</v>
      </c>
      <c r="L24" s="418">
        <f t="shared" si="4"/>
        <v>178643.95333333334</v>
      </c>
      <c r="M24" s="418">
        <f t="shared" si="4"/>
        <v>174998.12</v>
      </c>
      <c r="N24" s="418">
        <f t="shared" si="4"/>
        <v>174998.12</v>
      </c>
      <c r="O24" s="418">
        <f t="shared" si="4"/>
        <v>174998.12</v>
      </c>
      <c r="P24" s="418">
        <f t="shared" si="4"/>
        <v>174998.12</v>
      </c>
      <c r="Q24" s="418">
        <f t="shared" si="4"/>
        <v>274431.45333333325</v>
      </c>
      <c r="R24" s="418">
        <f t="shared" si="4"/>
        <v>2016049.3166666667</v>
      </c>
      <c r="S24" s="418">
        <f t="shared" si="4"/>
        <v>174998.12</v>
      </c>
      <c r="T24" s="418">
        <f t="shared" si="4"/>
        <v>174998.12</v>
      </c>
      <c r="U24" s="418">
        <f t="shared" si="4"/>
        <v>174998.12</v>
      </c>
      <c r="V24" s="418">
        <f t="shared" si="4"/>
        <v>174998.12</v>
      </c>
      <c r="W24" s="418">
        <f t="shared" si="4"/>
        <v>174998.12</v>
      </c>
      <c r="X24" s="418">
        <f t="shared" si="4"/>
        <v>174998.12</v>
      </c>
      <c r="Y24" s="418">
        <f t="shared" si="4"/>
        <v>196873.12</v>
      </c>
      <c r="Z24" s="418">
        <f t="shared" si="4"/>
        <v>174998.12</v>
      </c>
      <c r="AA24" s="418">
        <f t="shared" si="4"/>
        <v>174998.12</v>
      </c>
      <c r="AB24" s="418">
        <f t="shared" si="4"/>
        <v>174998.12</v>
      </c>
      <c r="AC24" s="418">
        <f t="shared" si="4"/>
        <v>306250.20333333319</v>
      </c>
      <c r="AD24" s="418">
        <f t="shared" si="4"/>
        <v>2078106.4033333333</v>
      </c>
    </row>
    <row r="25" spans="1:31" s="89" customFormat="1" ht="15.75" hidden="1" x14ac:dyDescent="0.25">
      <c r="A25" s="1121" t="s">
        <v>52</v>
      </c>
      <c r="B25" s="1121"/>
      <c r="C25" s="1121"/>
      <c r="D25" s="130" t="e">
        <f>+S25+#REF!</f>
        <v>#REF!</v>
      </c>
      <c r="E25" s="130" t="e">
        <f>+T25+D25</f>
        <v>#REF!</v>
      </c>
      <c r="F25" s="132"/>
      <c r="G25" s="131"/>
      <c r="H25" s="131"/>
      <c r="I25" s="131"/>
      <c r="J25" s="131"/>
      <c r="K25" s="131"/>
      <c r="L25" s="131"/>
      <c r="M25" s="131"/>
      <c r="N25" s="131"/>
      <c r="O25" s="131"/>
      <c r="P25" s="131"/>
      <c r="Q25" s="131"/>
      <c r="R25" s="132"/>
      <c r="S25" s="133"/>
      <c r="T25" s="131"/>
      <c r="U25" s="131"/>
      <c r="V25" s="131"/>
      <c r="W25" s="131"/>
      <c r="X25" s="131"/>
      <c r="Y25" s="131"/>
      <c r="Z25" s="131"/>
      <c r="AA25" s="131"/>
      <c r="AB25" s="131"/>
      <c r="AC25" s="131"/>
      <c r="AD25" s="132"/>
    </row>
    <row r="26" spans="1:31" ht="18.75" hidden="1" customHeight="1" x14ac:dyDescent="0.25">
      <c r="A26" s="781" t="s">
        <v>53</v>
      </c>
      <c r="B26" s="20"/>
      <c r="C26" s="102"/>
      <c r="D26" s="69">
        <f>+D27+D32</f>
        <v>3914155.7199999997</v>
      </c>
      <c r="E26" s="69">
        <f>+E27+E32</f>
        <v>0</v>
      </c>
      <c r="F26" s="69">
        <f>+D26+E26</f>
        <v>3914155.7199999997</v>
      </c>
      <c r="G26" s="69">
        <f>+G27</f>
        <v>133958.12</v>
      </c>
      <c r="H26" s="69">
        <f t="shared" ref="H26:K26" si="5">+H27</f>
        <v>133958.12</v>
      </c>
      <c r="I26" s="69">
        <f t="shared" si="5"/>
        <v>135244.16</v>
      </c>
      <c r="J26" s="69">
        <f t="shared" si="5"/>
        <v>109080</v>
      </c>
      <c r="K26" s="69">
        <f t="shared" si="5"/>
        <v>170741.03</v>
      </c>
      <c r="L26" s="69">
        <f>+L27</f>
        <v>178643.95333333334</v>
      </c>
      <c r="M26" s="69">
        <f t="shared" ref="M26:P26" si="6">+M27</f>
        <v>174998.12</v>
      </c>
      <c r="N26" s="69">
        <f t="shared" si="6"/>
        <v>174998.12</v>
      </c>
      <c r="O26" s="69">
        <f t="shared" si="6"/>
        <v>174998.12</v>
      </c>
      <c r="P26" s="69">
        <f t="shared" si="6"/>
        <v>174998.12</v>
      </c>
      <c r="Q26" s="69">
        <f>+Q27</f>
        <v>274431.45333333325</v>
      </c>
      <c r="R26" s="69">
        <f t="shared" ref="R26" si="7">+R27</f>
        <v>1836049.3166666667</v>
      </c>
      <c r="S26" s="69">
        <f>+S27</f>
        <v>174998.12</v>
      </c>
      <c r="T26" s="69">
        <f t="shared" ref="T26:W26" si="8">+T27</f>
        <v>174998.12</v>
      </c>
      <c r="U26" s="69">
        <f t="shared" si="8"/>
        <v>174998.12</v>
      </c>
      <c r="V26" s="69">
        <f t="shared" si="8"/>
        <v>174998.12</v>
      </c>
      <c r="W26" s="69">
        <f t="shared" si="8"/>
        <v>174998.12</v>
      </c>
      <c r="X26" s="69">
        <f>+X27</f>
        <v>174998.12</v>
      </c>
      <c r="Y26" s="69">
        <f t="shared" ref="Y26:AB26" si="9">+Y27</f>
        <v>196873.12</v>
      </c>
      <c r="Z26" s="69">
        <f t="shared" si="9"/>
        <v>174998.12</v>
      </c>
      <c r="AA26" s="69">
        <f t="shared" si="9"/>
        <v>174998.12</v>
      </c>
      <c r="AB26" s="69">
        <f t="shared" si="9"/>
        <v>174998.12</v>
      </c>
      <c r="AC26" s="69">
        <f>+AC27</f>
        <v>306250.20333333319</v>
      </c>
      <c r="AD26" s="69">
        <f t="shared" ref="AD26" si="10">+AD27</f>
        <v>2078106.4033333333</v>
      </c>
    </row>
    <row r="27" spans="1:31" ht="14.4" hidden="1" customHeight="1" x14ac:dyDescent="0.25">
      <c r="A27" s="1075" t="s">
        <v>76</v>
      </c>
      <c r="B27" s="40"/>
      <c r="C27" s="108"/>
      <c r="D27" s="70">
        <f>SUM(D29:D31)</f>
        <v>1504515.7199999997</v>
      </c>
      <c r="E27" s="70">
        <f>SUM(E29:E31)</f>
        <v>0</v>
      </c>
      <c r="F27" s="70">
        <f>+D27+E27</f>
        <v>1504515.7199999997</v>
      </c>
      <c r="G27" s="70">
        <f t="shared" ref="G27:AD27" si="11">+G28+G32</f>
        <v>133958.12</v>
      </c>
      <c r="H27" s="70">
        <f t="shared" si="11"/>
        <v>133958.12</v>
      </c>
      <c r="I27" s="70">
        <f t="shared" si="11"/>
        <v>135244.16</v>
      </c>
      <c r="J27" s="70">
        <f t="shared" si="11"/>
        <v>109080</v>
      </c>
      <c r="K27" s="70">
        <f t="shared" si="11"/>
        <v>170741.03</v>
      </c>
      <c r="L27" s="70">
        <f t="shared" si="11"/>
        <v>178643.95333333334</v>
      </c>
      <c r="M27" s="70">
        <f t="shared" si="11"/>
        <v>174998.12</v>
      </c>
      <c r="N27" s="70">
        <f t="shared" si="11"/>
        <v>174998.12</v>
      </c>
      <c r="O27" s="70">
        <f t="shared" si="11"/>
        <v>174998.12</v>
      </c>
      <c r="P27" s="70">
        <f t="shared" si="11"/>
        <v>174998.12</v>
      </c>
      <c r="Q27" s="70">
        <f t="shared" si="11"/>
        <v>274431.45333333325</v>
      </c>
      <c r="R27" s="70">
        <f t="shared" si="11"/>
        <v>1836049.3166666667</v>
      </c>
      <c r="S27" s="99">
        <f t="shared" si="11"/>
        <v>174998.12</v>
      </c>
      <c r="T27" s="70">
        <f t="shared" si="11"/>
        <v>174998.12</v>
      </c>
      <c r="U27" s="70">
        <f t="shared" si="11"/>
        <v>174998.12</v>
      </c>
      <c r="V27" s="70">
        <f t="shared" si="11"/>
        <v>174998.12</v>
      </c>
      <c r="W27" s="70">
        <f t="shared" si="11"/>
        <v>174998.12</v>
      </c>
      <c r="X27" s="70">
        <f t="shared" si="11"/>
        <v>174998.12</v>
      </c>
      <c r="Y27" s="70">
        <f t="shared" si="11"/>
        <v>196873.12</v>
      </c>
      <c r="Z27" s="70">
        <f t="shared" si="11"/>
        <v>174998.12</v>
      </c>
      <c r="AA27" s="70">
        <f t="shared" si="11"/>
        <v>174998.12</v>
      </c>
      <c r="AB27" s="70">
        <f t="shared" si="11"/>
        <v>174998.12</v>
      </c>
      <c r="AC27" s="70">
        <f t="shared" si="11"/>
        <v>306250.20333333319</v>
      </c>
      <c r="AD27" s="70">
        <f t="shared" si="11"/>
        <v>2078106.4033333333</v>
      </c>
    </row>
    <row r="28" spans="1:31" ht="15" hidden="1" x14ac:dyDescent="0.25">
      <c r="A28" s="1076"/>
      <c r="B28" s="52"/>
      <c r="C28" s="103"/>
      <c r="D28" s="72">
        <f t="shared" ref="D28:AD28" si="12">SUM(D29:D31)</f>
        <v>1504515.7199999997</v>
      </c>
      <c r="E28" s="72">
        <f t="shared" si="12"/>
        <v>0</v>
      </c>
      <c r="F28" s="72">
        <f t="shared" si="12"/>
        <v>1504515.7199999997</v>
      </c>
      <c r="G28" s="72">
        <f t="shared" si="12"/>
        <v>48918.12</v>
      </c>
      <c r="H28" s="72">
        <f t="shared" si="12"/>
        <v>48918.12</v>
      </c>
      <c r="I28" s="72">
        <f t="shared" si="12"/>
        <v>40204.160000000003</v>
      </c>
      <c r="J28" s="72">
        <f t="shared" si="12"/>
        <v>0</v>
      </c>
      <c r="K28" s="72">
        <f t="shared" si="12"/>
        <v>57661.03</v>
      </c>
      <c r="L28" s="72">
        <f t="shared" si="12"/>
        <v>65563.953333333338</v>
      </c>
      <c r="M28" s="72">
        <f t="shared" si="12"/>
        <v>61918.12</v>
      </c>
      <c r="N28" s="72">
        <f t="shared" si="12"/>
        <v>61918.12</v>
      </c>
      <c r="O28" s="72">
        <f t="shared" si="12"/>
        <v>61918.12</v>
      </c>
      <c r="P28" s="72">
        <f t="shared" si="12"/>
        <v>61918.12</v>
      </c>
      <c r="Q28" s="72">
        <f t="shared" si="12"/>
        <v>161351.45333333328</v>
      </c>
      <c r="R28" s="72">
        <f t="shared" si="12"/>
        <v>670289.31666666665</v>
      </c>
      <c r="S28" s="72">
        <f t="shared" si="12"/>
        <v>61918.12</v>
      </c>
      <c r="T28" s="72">
        <f t="shared" si="12"/>
        <v>61918.12</v>
      </c>
      <c r="U28" s="72">
        <f t="shared" si="12"/>
        <v>61918.12</v>
      </c>
      <c r="V28" s="72">
        <f t="shared" si="12"/>
        <v>61918.12</v>
      </c>
      <c r="W28" s="72">
        <f t="shared" si="12"/>
        <v>61918.12</v>
      </c>
      <c r="X28" s="72">
        <f t="shared" si="12"/>
        <v>61918.12</v>
      </c>
      <c r="Y28" s="72">
        <f t="shared" si="12"/>
        <v>83793.119999999981</v>
      </c>
      <c r="Z28" s="72">
        <f t="shared" si="12"/>
        <v>61918.12</v>
      </c>
      <c r="AA28" s="72">
        <f t="shared" si="12"/>
        <v>61918.12</v>
      </c>
      <c r="AB28" s="72">
        <f t="shared" si="12"/>
        <v>61918.12</v>
      </c>
      <c r="AC28" s="72">
        <f t="shared" si="12"/>
        <v>193170.20333333319</v>
      </c>
      <c r="AD28" s="72">
        <f t="shared" si="12"/>
        <v>834226.4033333332</v>
      </c>
    </row>
    <row r="29" spans="1:31" ht="15" hidden="1" x14ac:dyDescent="0.25">
      <c r="A29" s="1076"/>
      <c r="B29" s="39" t="s">
        <v>2</v>
      </c>
      <c r="C29" s="104" t="s">
        <v>54</v>
      </c>
      <c r="D29" s="23">
        <f>+R29+AD29</f>
        <v>742950.19333333313</v>
      </c>
      <c r="E29" s="23">
        <v>0</v>
      </c>
      <c r="F29" s="74">
        <f t="shared" ref="F29:F46" si="13">+D29+E29</f>
        <v>742950.19333333313</v>
      </c>
      <c r="G29" s="73">
        <f>+'F1,F2,F3,F4 (Desglose)'!H13</f>
        <v>28332.510000000002</v>
      </c>
      <c r="H29" s="73">
        <f>+'F1,F2,F3,F4 (Desglose)'!I13</f>
        <v>28332.510000000002</v>
      </c>
      <c r="I29" s="73">
        <f>+'F1,F2,F3,F4 (Desglose)'!J13</f>
        <v>23310.41</v>
      </c>
      <c r="J29" s="73">
        <f>+'F1,F2,F3,F4 (Desglose)'!K13</f>
        <v>0</v>
      </c>
      <c r="K29" s="73">
        <f>+'F1,F2,F3,F4 (Desglose)'!L13</f>
        <v>28332.510000000002</v>
      </c>
      <c r="L29" s="73">
        <f>+'F1,F2,F3,F4 (Desglose)'!M13</f>
        <v>30447.093333333331</v>
      </c>
      <c r="M29" s="73">
        <f>+'F1,F2,F3,F4 (Desglose)'!N13</f>
        <v>28332.510000000002</v>
      </c>
      <c r="N29" s="73">
        <f>+'F1,F2,F3,F4 (Desglose)'!O13</f>
        <v>28332.510000000002</v>
      </c>
      <c r="O29" s="73">
        <f>+'F1,F2,F3,F4 (Desglose)'!P13</f>
        <v>28332.510000000002</v>
      </c>
      <c r="P29" s="73">
        <f>+'F1,F2,F3,F4 (Desglose)'!Q13</f>
        <v>28332.510000000002</v>
      </c>
      <c r="Q29" s="73">
        <f>+'F1,F2,F3,F4 (Desglose)'!R13</f>
        <v>85982.509999999951</v>
      </c>
      <c r="R29" s="74">
        <f>SUM(G29:Q29)</f>
        <v>338067.58333333331</v>
      </c>
      <c r="S29" s="96">
        <f>+'[2]F1,F2,F3,F4'!$S$11</f>
        <v>28332.510000000002</v>
      </c>
      <c r="T29" s="73">
        <f>+'[2]F1,F2,F3,F4'!$S$11</f>
        <v>28332.510000000002</v>
      </c>
      <c r="U29" s="73">
        <f>+'[2]F1,F2,F3,F4'!$S$11</f>
        <v>28332.510000000002</v>
      </c>
      <c r="V29" s="73">
        <f>+'[2]F1,F2,F3,F4'!$S$11</f>
        <v>28332.510000000002</v>
      </c>
      <c r="W29" s="73">
        <f>+'[2]F1,F2,F3,F4'!$S$11</f>
        <v>28332.510000000002</v>
      </c>
      <c r="X29" s="73">
        <f>+'[2]F1,F2,F3,F4'!$S$11</f>
        <v>28332.510000000002</v>
      </c>
      <c r="Y29" s="73">
        <f>+'[2]F1,F2,F3,F4'!$Y$11</f>
        <v>41020.00999999998</v>
      </c>
      <c r="Z29" s="73">
        <f>+'[2]F1,F2,F3,F4'!$S$11</f>
        <v>28332.510000000002</v>
      </c>
      <c r="AA29" s="73">
        <f>+'[2]F1,F2,F3,F4'!$S$11</f>
        <v>28332.510000000002</v>
      </c>
      <c r="AB29" s="73">
        <f>+'[2]F1,F2,F3,F4'!$S$11</f>
        <v>28332.510000000002</v>
      </c>
      <c r="AC29" s="73">
        <f>+'[2]F1,F2,F3,F4'!$AC$11</f>
        <v>108870.00999999986</v>
      </c>
      <c r="AD29" s="74">
        <f>SUM(S29:AC29)</f>
        <v>404882.60999999987</v>
      </c>
    </row>
    <row r="30" spans="1:31" ht="30" hidden="1" x14ac:dyDescent="0.25">
      <c r="A30" s="1076"/>
      <c r="B30" s="774" t="s">
        <v>3</v>
      </c>
      <c r="C30" s="104" t="s">
        <v>55</v>
      </c>
      <c r="D30" s="23">
        <f>+R30+AD30</f>
        <v>531822.6166666667</v>
      </c>
      <c r="E30" s="23">
        <v>0</v>
      </c>
      <c r="F30" s="74">
        <f t="shared" si="13"/>
        <v>531822.6166666667</v>
      </c>
      <c r="G30" s="73">
        <f>+'F1,F2,F3,F4 (Desglose)'!H23</f>
        <v>20585.61</v>
      </c>
      <c r="H30" s="73">
        <f>+'F1,F2,F3,F4 (Desglose)'!I23</f>
        <v>20585.61</v>
      </c>
      <c r="I30" s="73">
        <f>+'F1,F2,F3,F4 (Desglose)'!J23</f>
        <v>16893.75</v>
      </c>
      <c r="J30" s="73">
        <f>+'F1,F2,F3,F4 (Desglose)'!K23</f>
        <v>0</v>
      </c>
      <c r="K30" s="73">
        <f>+'F1,F2,F3,F4 (Desglose)'!L23</f>
        <v>20585.61</v>
      </c>
      <c r="L30" s="73">
        <f>+'F1,F2,F3,F4 (Desglose)'!M23</f>
        <v>22116.86</v>
      </c>
      <c r="M30" s="73">
        <f>+'F1,F2,F3,F4 (Desglose)'!N23</f>
        <v>20585.61</v>
      </c>
      <c r="N30" s="73">
        <f>+'F1,F2,F3,F4 (Desglose)'!O23</f>
        <v>20585.61</v>
      </c>
      <c r="O30" s="73">
        <f>+'F1,F2,F3,F4 (Desglose)'!P23</f>
        <v>20585.61</v>
      </c>
      <c r="P30" s="73">
        <f>+'F1,F2,F3,F4 (Desglose)'!Q23</f>
        <v>20585.61</v>
      </c>
      <c r="Q30" s="73">
        <f>+'F1,F2,F3,F4 (Desglose)'!R23</f>
        <v>62368.943333333336</v>
      </c>
      <c r="R30" s="74">
        <f t="shared" ref="R30:R46" si="14">SUM(G30:Q30)</f>
        <v>245478.82333333333</v>
      </c>
      <c r="S30" s="96">
        <f>+'[2]F1,F2,F3,F4'!$S$24</f>
        <v>20585.61</v>
      </c>
      <c r="T30" s="73">
        <f>+'[2]F1,F2,F3,F4'!$S$24</f>
        <v>20585.61</v>
      </c>
      <c r="U30" s="73">
        <f>+'[2]F1,F2,F3,F4'!$S$24</f>
        <v>20585.61</v>
      </c>
      <c r="V30" s="73">
        <f>+'[2]F1,F2,F3,F4'!$S$24</f>
        <v>20585.61</v>
      </c>
      <c r="W30" s="73">
        <f>+'[2]F1,F2,F3,F4'!$S$24</f>
        <v>20585.61</v>
      </c>
      <c r="X30" s="73">
        <f>+'[2]F1,F2,F3,F4'!$S$24</f>
        <v>20585.61</v>
      </c>
      <c r="Y30" s="73">
        <f>+'[2]F1,F2,F3,F4'!$Y$24</f>
        <v>29773.11</v>
      </c>
      <c r="Z30" s="73">
        <f>+'[2]F1,F2,F3,F4'!$S$24</f>
        <v>20585.61</v>
      </c>
      <c r="AA30" s="73">
        <f>+'[2]F1,F2,F3,F4'!$S$24</f>
        <v>20585.61</v>
      </c>
      <c r="AB30" s="73">
        <f>+'[2]F1,F2,F3,F4'!$S$24</f>
        <v>20585.61</v>
      </c>
      <c r="AC30" s="73">
        <f>+'[2]F1,F2,F3,F4'!$AC$24</f>
        <v>71300.193333333329</v>
      </c>
      <c r="AD30" s="74">
        <f t="shared" ref="AD30:AD46" si="15">SUM(S30:AC30)</f>
        <v>286343.79333333333</v>
      </c>
    </row>
    <row r="31" spans="1:31" s="4" customFormat="1" ht="15" hidden="1" x14ac:dyDescent="0.25">
      <c r="A31" s="1076"/>
      <c r="B31" s="774" t="s">
        <v>4</v>
      </c>
      <c r="C31" s="2" t="s">
        <v>75</v>
      </c>
      <c r="D31" s="23">
        <f>+R31+AD31</f>
        <v>229742.91</v>
      </c>
      <c r="E31" s="23">
        <v>0</v>
      </c>
      <c r="F31" s="74">
        <f t="shared" si="13"/>
        <v>229742.91</v>
      </c>
      <c r="G31" s="73">
        <f>+'F1,F2,F3,F4 (Desglose)'!H33</f>
        <v>0</v>
      </c>
      <c r="H31" s="73">
        <f>+'F1,F2,F3,F4 (Desglose)'!I33</f>
        <v>0</v>
      </c>
      <c r="I31" s="73">
        <f>+'F1,F2,F3,F4 (Desglose)'!J33</f>
        <v>0</v>
      </c>
      <c r="J31" s="73">
        <f>+'F1,F2,F3,F4 (Desglose)'!K33</f>
        <v>0</v>
      </c>
      <c r="K31" s="73">
        <f>+'F1,F2,F3,F4 (Desglose)'!L33</f>
        <v>8742.91</v>
      </c>
      <c r="L31" s="73">
        <f>+'F1,F2,F3,F4 (Desglose)'!M33</f>
        <v>13000</v>
      </c>
      <c r="M31" s="73">
        <f>+'F1,F2,F3,F4 (Desglose)'!N33</f>
        <v>13000</v>
      </c>
      <c r="N31" s="73">
        <f>+'F1,F2,F3,F4 (Desglose)'!O33</f>
        <v>13000</v>
      </c>
      <c r="O31" s="73">
        <f>+'F1,F2,F3,F4 (Desglose)'!P33</f>
        <v>13000</v>
      </c>
      <c r="P31" s="73">
        <f>+'F1,F2,F3,F4 (Desglose)'!Q33</f>
        <v>13000</v>
      </c>
      <c r="Q31" s="73">
        <f>+'F1,F2,F3,F4 (Desglose)'!R33</f>
        <v>13000</v>
      </c>
      <c r="R31" s="74">
        <f t="shared" si="14"/>
        <v>86742.91</v>
      </c>
      <c r="S31" s="73">
        <f>+'F1,F2,F3,F4 (Desglose)'!T33</f>
        <v>13000</v>
      </c>
      <c r="T31" s="73">
        <f>+'F1,F2,F3,F4 (Desglose)'!U33</f>
        <v>13000</v>
      </c>
      <c r="U31" s="73">
        <f>+'F1,F2,F3,F4 (Desglose)'!V33</f>
        <v>13000</v>
      </c>
      <c r="V31" s="73">
        <f>+'F1,F2,F3,F4 (Desglose)'!W33</f>
        <v>13000</v>
      </c>
      <c r="W31" s="73">
        <f>+'F1,F2,F3,F4 (Desglose)'!X33</f>
        <v>13000</v>
      </c>
      <c r="X31" s="73">
        <f>+'F1,F2,F3,F4 (Desglose)'!Y33</f>
        <v>13000</v>
      </c>
      <c r="Y31" s="73">
        <f>+'F1,F2,F3,F4 (Desglose)'!Z33</f>
        <v>13000</v>
      </c>
      <c r="Z31" s="73">
        <f>+'F1,F2,F3,F4 (Desglose)'!AA33</f>
        <v>13000</v>
      </c>
      <c r="AA31" s="73">
        <f>+'F1,F2,F3,F4 (Desglose)'!AB33</f>
        <v>13000</v>
      </c>
      <c r="AB31" s="73">
        <f>+'F1,F2,F3,F4 (Desglose)'!AC33</f>
        <v>13000</v>
      </c>
      <c r="AC31" s="73">
        <f>+'F1,F2,F3,F4 (Desglose)'!AD33</f>
        <v>13000</v>
      </c>
      <c r="AD31" s="74">
        <f t="shared" si="15"/>
        <v>143000</v>
      </c>
    </row>
    <row r="32" spans="1:31" ht="15" hidden="1" x14ac:dyDescent="0.25">
      <c r="A32" s="1094" t="s">
        <v>78</v>
      </c>
      <c r="B32" s="391"/>
      <c r="C32" s="403"/>
      <c r="D32" s="404">
        <f>SUM(D33:D46)</f>
        <v>2409640</v>
      </c>
      <c r="E32" s="404">
        <f>SUM(E33:E46)</f>
        <v>0</v>
      </c>
      <c r="F32" s="404">
        <f t="shared" si="13"/>
        <v>2409640</v>
      </c>
      <c r="G32" s="404">
        <f>SUM(G33:G46)</f>
        <v>85040</v>
      </c>
      <c r="H32" s="404">
        <f t="shared" ref="H32:AD32" si="16">SUM(H33:H46)</f>
        <v>85040</v>
      </c>
      <c r="I32" s="404">
        <f t="shared" si="16"/>
        <v>95040</v>
      </c>
      <c r="J32" s="404">
        <f t="shared" si="16"/>
        <v>109080</v>
      </c>
      <c r="K32" s="404">
        <f t="shared" si="16"/>
        <v>113080</v>
      </c>
      <c r="L32" s="404">
        <f t="shared" si="16"/>
        <v>113080</v>
      </c>
      <c r="M32" s="404">
        <f t="shared" si="16"/>
        <v>113080</v>
      </c>
      <c r="N32" s="404">
        <f t="shared" si="16"/>
        <v>113080</v>
      </c>
      <c r="O32" s="404">
        <f t="shared" si="16"/>
        <v>113080</v>
      </c>
      <c r="P32" s="404">
        <f t="shared" si="16"/>
        <v>113080</v>
      </c>
      <c r="Q32" s="404">
        <f t="shared" si="16"/>
        <v>113080</v>
      </c>
      <c r="R32" s="404">
        <f t="shared" si="16"/>
        <v>1165760</v>
      </c>
      <c r="S32" s="405">
        <f t="shared" si="16"/>
        <v>113080</v>
      </c>
      <c r="T32" s="404">
        <f t="shared" si="16"/>
        <v>113080</v>
      </c>
      <c r="U32" s="404">
        <f t="shared" si="16"/>
        <v>113080</v>
      </c>
      <c r="V32" s="404">
        <f t="shared" si="16"/>
        <v>113080</v>
      </c>
      <c r="W32" s="404">
        <f t="shared" si="16"/>
        <v>113080</v>
      </c>
      <c r="X32" s="404">
        <f t="shared" si="16"/>
        <v>113080</v>
      </c>
      <c r="Y32" s="404">
        <f t="shared" si="16"/>
        <v>113080</v>
      </c>
      <c r="Z32" s="404">
        <f t="shared" si="16"/>
        <v>113080</v>
      </c>
      <c r="AA32" s="404">
        <f t="shared" si="16"/>
        <v>113080</v>
      </c>
      <c r="AB32" s="404">
        <f t="shared" si="16"/>
        <v>113080</v>
      </c>
      <c r="AC32" s="404">
        <f t="shared" si="16"/>
        <v>113080</v>
      </c>
      <c r="AD32" s="404">
        <f t="shared" si="16"/>
        <v>1243880</v>
      </c>
    </row>
    <row r="33" spans="1:30" ht="15" hidden="1" x14ac:dyDescent="0.25">
      <c r="A33" s="1105"/>
      <c r="B33" s="1" t="s">
        <v>2</v>
      </c>
      <c r="C33" s="2" t="s">
        <v>56</v>
      </c>
      <c r="D33" s="23">
        <f>+R33+AD33</f>
        <v>220000</v>
      </c>
      <c r="E33" s="23">
        <v>0</v>
      </c>
      <c r="F33" s="74">
        <f t="shared" si="13"/>
        <v>220000</v>
      </c>
      <c r="G33" s="73">
        <v>10000</v>
      </c>
      <c r="H33" s="73">
        <v>10000</v>
      </c>
      <c r="I33" s="73">
        <v>10000</v>
      </c>
      <c r="J33" s="73">
        <v>10000</v>
      </c>
      <c r="K33" s="73">
        <v>10000</v>
      </c>
      <c r="L33" s="73">
        <v>10000</v>
      </c>
      <c r="M33" s="73">
        <v>10000</v>
      </c>
      <c r="N33" s="73">
        <v>10000</v>
      </c>
      <c r="O33" s="73">
        <v>10000</v>
      </c>
      <c r="P33" s="73">
        <v>10000</v>
      </c>
      <c r="Q33" s="73">
        <v>10000</v>
      </c>
      <c r="R33" s="74">
        <f t="shared" si="14"/>
        <v>110000</v>
      </c>
      <c r="S33" s="96">
        <v>10000</v>
      </c>
      <c r="T33" s="73">
        <v>10000</v>
      </c>
      <c r="U33" s="73">
        <v>10000</v>
      </c>
      <c r="V33" s="73">
        <v>10000</v>
      </c>
      <c r="W33" s="73">
        <v>10000</v>
      </c>
      <c r="X33" s="73">
        <v>10000</v>
      </c>
      <c r="Y33" s="73">
        <v>10000</v>
      </c>
      <c r="Z33" s="73">
        <v>10000</v>
      </c>
      <c r="AA33" s="73">
        <v>10000</v>
      </c>
      <c r="AB33" s="73">
        <v>10000</v>
      </c>
      <c r="AC33" s="73">
        <v>10000</v>
      </c>
      <c r="AD33" s="74">
        <f t="shared" si="15"/>
        <v>110000</v>
      </c>
    </row>
    <row r="34" spans="1:30" ht="30" hidden="1" x14ac:dyDescent="0.25">
      <c r="A34" s="1105"/>
      <c r="B34" s="1" t="s">
        <v>3</v>
      </c>
      <c r="C34" s="47" t="s">
        <v>560</v>
      </c>
      <c r="D34" s="23">
        <f t="shared" ref="D34:D46" si="17">+R34+AD34</f>
        <v>420000</v>
      </c>
      <c r="E34" s="23">
        <v>0</v>
      </c>
      <c r="F34" s="74">
        <f t="shared" si="13"/>
        <v>420000</v>
      </c>
      <c r="G34" s="73">
        <v>10000</v>
      </c>
      <c r="H34" s="73">
        <v>10000</v>
      </c>
      <c r="I34" s="73">
        <v>20000</v>
      </c>
      <c r="J34" s="73">
        <v>20000</v>
      </c>
      <c r="K34" s="73">
        <v>20000</v>
      </c>
      <c r="L34" s="73">
        <v>20000</v>
      </c>
      <c r="M34" s="73">
        <v>20000</v>
      </c>
      <c r="N34" s="73">
        <v>20000</v>
      </c>
      <c r="O34" s="73">
        <v>20000</v>
      </c>
      <c r="P34" s="73">
        <v>20000</v>
      </c>
      <c r="Q34" s="73">
        <v>20000</v>
      </c>
      <c r="R34" s="74">
        <f t="shared" si="14"/>
        <v>200000</v>
      </c>
      <c r="S34" s="96">
        <v>20000</v>
      </c>
      <c r="T34" s="73">
        <v>20000</v>
      </c>
      <c r="U34" s="73">
        <v>20000</v>
      </c>
      <c r="V34" s="73">
        <v>20000</v>
      </c>
      <c r="W34" s="73">
        <v>20000</v>
      </c>
      <c r="X34" s="73">
        <v>20000</v>
      </c>
      <c r="Y34" s="73">
        <v>20000</v>
      </c>
      <c r="Z34" s="73">
        <v>20000</v>
      </c>
      <c r="AA34" s="73">
        <v>20000</v>
      </c>
      <c r="AB34" s="73">
        <v>20000</v>
      </c>
      <c r="AC34" s="73">
        <v>20000</v>
      </c>
      <c r="AD34" s="74">
        <f t="shared" si="15"/>
        <v>220000</v>
      </c>
    </row>
    <row r="35" spans="1:30" ht="15" hidden="1" x14ac:dyDescent="0.25">
      <c r="A35" s="1105"/>
      <c r="B35" s="1" t="s">
        <v>4</v>
      </c>
      <c r="C35" s="3" t="s">
        <v>57</v>
      </c>
      <c r="D35" s="23">
        <f t="shared" si="17"/>
        <v>220000</v>
      </c>
      <c r="E35" s="23">
        <v>0</v>
      </c>
      <c r="F35" s="74">
        <f t="shared" si="13"/>
        <v>220000</v>
      </c>
      <c r="G35" s="73">
        <v>10000</v>
      </c>
      <c r="H35" s="73">
        <v>10000</v>
      </c>
      <c r="I35" s="73">
        <v>10000</v>
      </c>
      <c r="J35" s="73">
        <v>10000</v>
      </c>
      <c r="K35" s="73">
        <v>10000</v>
      </c>
      <c r="L35" s="73">
        <v>10000</v>
      </c>
      <c r="M35" s="73">
        <v>10000</v>
      </c>
      <c r="N35" s="73">
        <v>10000</v>
      </c>
      <c r="O35" s="73">
        <v>10000</v>
      </c>
      <c r="P35" s="73">
        <v>10000</v>
      </c>
      <c r="Q35" s="73">
        <v>10000</v>
      </c>
      <c r="R35" s="74">
        <f t="shared" si="14"/>
        <v>110000</v>
      </c>
      <c r="S35" s="96">
        <v>10000</v>
      </c>
      <c r="T35" s="73">
        <v>10000</v>
      </c>
      <c r="U35" s="73">
        <v>10000</v>
      </c>
      <c r="V35" s="73">
        <v>10000</v>
      </c>
      <c r="W35" s="73">
        <v>10000</v>
      </c>
      <c r="X35" s="73">
        <v>10000</v>
      </c>
      <c r="Y35" s="73">
        <v>10000</v>
      </c>
      <c r="Z35" s="73">
        <v>10000</v>
      </c>
      <c r="AA35" s="73">
        <v>10000</v>
      </c>
      <c r="AB35" s="73">
        <v>10000</v>
      </c>
      <c r="AC35" s="73">
        <v>10000</v>
      </c>
      <c r="AD35" s="74">
        <f t="shared" si="15"/>
        <v>110000</v>
      </c>
    </row>
    <row r="36" spans="1:30" ht="15" hidden="1" x14ac:dyDescent="0.25">
      <c r="A36" s="1105"/>
      <c r="B36" s="1" t="s">
        <v>8</v>
      </c>
      <c r="C36" s="3" t="s">
        <v>58</v>
      </c>
      <c r="D36" s="23">
        <f t="shared" si="17"/>
        <v>220000</v>
      </c>
      <c r="E36" s="23">
        <v>0</v>
      </c>
      <c r="F36" s="74">
        <f t="shared" si="13"/>
        <v>220000</v>
      </c>
      <c r="G36" s="73">
        <v>10000</v>
      </c>
      <c r="H36" s="73">
        <v>10000</v>
      </c>
      <c r="I36" s="73">
        <v>10000</v>
      </c>
      <c r="J36" s="73">
        <v>10000</v>
      </c>
      <c r="K36" s="73">
        <v>10000</v>
      </c>
      <c r="L36" s="73">
        <v>10000</v>
      </c>
      <c r="M36" s="73">
        <v>10000</v>
      </c>
      <c r="N36" s="73">
        <v>10000</v>
      </c>
      <c r="O36" s="73">
        <v>10000</v>
      </c>
      <c r="P36" s="73">
        <v>10000</v>
      </c>
      <c r="Q36" s="73">
        <v>10000</v>
      </c>
      <c r="R36" s="74">
        <f t="shared" si="14"/>
        <v>110000</v>
      </c>
      <c r="S36" s="96">
        <v>10000</v>
      </c>
      <c r="T36" s="73">
        <v>10000</v>
      </c>
      <c r="U36" s="73">
        <v>10000</v>
      </c>
      <c r="V36" s="73">
        <v>10000</v>
      </c>
      <c r="W36" s="73">
        <v>10000</v>
      </c>
      <c r="X36" s="73">
        <v>10000</v>
      </c>
      <c r="Y36" s="73">
        <v>10000</v>
      </c>
      <c r="Z36" s="73">
        <v>10000</v>
      </c>
      <c r="AA36" s="73">
        <v>10000</v>
      </c>
      <c r="AB36" s="73">
        <v>10000</v>
      </c>
      <c r="AC36" s="73">
        <v>10000</v>
      </c>
      <c r="AD36" s="74">
        <f t="shared" si="15"/>
        <v>110000</v>
      </c>
    </row>
    <row r="37" spans="1:30" ht="15" hidden="1" x14ac:dyDescent="0.25">
      <c r="A37" s="1105"/>
      <c r="B37" s="1" t="s">
        <v>9</v>
      </c>
      <c r="C37" s="3" t="s">
        <v>59</v>
      </c>
      <c r="D37" s="23">
        <f t="shared" si="17"/>
        <v>220000</v>
      </c>
      <c r="E37" s="23">
        <v>0</v>
      </c>
      <c r="F37" s="74">
        <f t="shared" si="13"/>
        <v>220000</v>
      </c>
      <c r="G37" s="73">
        <v>10000</v>
      </c>
      <c r="H37" s="73">
        <v>10000</v>
      </c>
      <c r="I37" s="73">
        <v>10000</v>
      </c>
      <c r="J37" s="73">
        <v>10000</v>
      </c>
      <c r="K37" s="73">
        <v>10000</v>
      </c>
      <c r="L37" s="73">
        <v>10000</v>
      </c>
      <c r="M37" s="73">
        <v>10000</v>
      </c>
      <c r="N37" s="73">
        <v>10000</v>
      </c>
      <c r="O37" s="73">
        <v>10000</v>
      </c>
      <c r="P37" s="73">
        <v>10000</v>
      </c>
      <c r="Q37" s="73">
        <v>10000</v>
      </c>
      <c r="R37" s="74">
        <f t="shared" si="14"/>
        <v>110000</v>
      </c>
      <c r="S37" s="96">
        <v>10000</v>
      </c>
      <c r="T37" s="73">
        <v>10000</v>
      </c>
      <c r="U37" s="73">
        <v>10000</v>
      </c>
      <c r="V37" s="73">
        <v>10000</v>
      </c>
      <c r="W37" s="73">
        <v>10000</v>
      </c>
      <c r="X37" s="73">
        <v>10000</v>
      </c>
      <c r="Y37" s="73">
        <v>10000</v>
      </c>
      <c r="Z37" s="73">
        <v>10000</v>
      </c>
      <c r="AA37" s="73">
        <v>10000</v>
      </c>
      <c r="AB37" s="73">
        <v>10000</v>
      </c>
      <c r="AC37" s="73">
        <v>10000</v>
      </c>
      <c r="AD37" s="74">
        <f t="shared" si="15"/>
        <v>110000</v>
      </c>
    </row>
    <row r="38" spans="1:30" ht="15" hidden="1" x14ac:dyDescent="0.25">
      <c r="A38" s="1105"/>
      <c r="B38" s="1" t="s">
        <v>10</v>
      </c>
      <c r="C38" s="3" t="s">
        <v>60</v>
      </c>
      <c r="D38" s="23">
        <f t="shared" si="17"/>
        <v>121000</v>
      </c>
      <c r="E38" s="23">
        <v>0</v>
      </c>
      <c r="F38" s="74">
        <f t="shared" si="13"/>
        <v>121000</v>
      </c>
      <c r="G38" s="73">
        <v>5500</v>
      </c>
      <c r="H38" s="73">
        <v>5500</v>
      </c>
      <c r="I38" s="73">
        <v>5500</v>
      </c>
      <c r="J38" s="73">
        <v>5500</v>
      </c>
      <c r="K38" s="73">
        <v>5500</v>
      </c>
      <c r="L38" s="73">
        <v>5500</v>
      </c>
      <c r="M38" s="73">
        <v>5500</v>
      </c>
      <c r="N38" s="73">
        <v>5500</v>
      </c>
      <c r="O38" s="73">
        <v>5500</v>
      </c>
      <c r="P38" s="73">
        <v>5500</v>
      </c>
      <c r="Q38" s="73">
        <v>5500</v>
      </c>
      <c r="R38" s="74">
        <f t="shared" si="14"/>
        <v>60500</v>
      </c>
      <c r="S38" s="96">
        <v>5500</v>
      </c>
      <c r="T38" s="73">
        <v>5500</v>
      </c>
      <c r="U38" s="73">
        <v>5500</v>
      </c>
      <c r="V38" s="73">
        <v>5500</v>
      </c>
      <c r="W38" s="73">
        <v>5500</v>
      </c>
      <c r="X38" s="73">
        <v>5500</v>
      </c>
      <c r="Y38" s="73">
        <v>5500</v>
      </c>
      <c r="Z38" s="73">
        <v>5500</v>
      </c>
      <c r="AA38" s="73">
        <v>5500</v>
      </c>
      <c r="AB38" s="73">
        <v>5500</v>
      </c>
      <c r="AC38" s="73">
        <v>5500</v>
      </c>
      <c r="AD38" s="74">
        <f t="shared" si="15"/>
        <v>60500</v>
      </c>
    </row>
    <row r="39" spans="1:30" ht="45" hidden="1" x14ac:dyDescent="0.25">
      <c r="A39" s="1105"/>
      <c r="B39" s="1" t="s">
        <v>67</v>
      </c>
      <c r="C39" s="3" t="s">
        <v>561</v>
      </c>
      <c r="D39" s="23">
        <f t="shared" si="17"/>
        <v>176880</v>
      </c>
      <c r="E39" s="23">
        <v>0</v>
      </c>
      <c r="F39" s="74">
        <f t="shared" si="13"/>
        <v>176880</v>
      </c>
      <c r="G39" s="73">
        <v>8040</v>
      </c>
      <c r="H39" s="73">
        <v>8040</v>
      </c>
      <c r="I39" s="73">
        <v>8040</v>
      </c>
      <c r="J39" s="73">
        <v>8040</v>
      </c>
      <c r="K39" s="73">
        <v>8040</v>
      </c>
      <c r="L39" s="73">
        <v>8040</v>
      </c>
      <c r="M39" s="73">
        <v>8040</v>
      </c>
      <c r="N39" s="73">
        <v>8040</v>
      </c>
      <c r="O39" s="73">
        <v>8040</v>
      </c>
      <c r="P39" s="73">
        <v>8040</v>
      </c>
      <c r="Q39" s="73">
        <v>8040</v>
      </c>
      <c r="R39" s="74">
        <f t="shared" si="14"/>
        <v>88440</v>
      </c>
      <c r="S39" s="96">
        <v>8040</v>
      </c>
      <c r="T39" s="73">
        <v>8040</v>
      </c>
      <c r="U39" s="73">
        <v>8040</v>
      </c>
      <c r="V39" s="73">
        <v>8040</v>
      </c>
      <c r="W39" s="73">
        <v>8040</v>
      </c>
      <c r="X39" s="73">
        <v>8040</v>
      </c>
      <c r="Y39" s="73">
        <v>8040</v>
      </c>
      <c r="Z39" s="73">
        <v>8040</v>
      </c>
      <c r="AA39" s="73">
        <v>8040</v>
      </c>
      <c r="AB39" s="73">
        <v>8040</v>
      </c>
      <c r="AC39" s="73">
        <v>8040</v>
      </c>
      <c r="AD39" s="74">
        <f t="shared" si="15"/>
        <v>88440</v>
      </c>
    </row>
    <row r="40" spans="1:30" ht="30" hidden="1" x14ac:dyDescent="0.25">
      <c r="A40" s="1105"/>
      <c r="B40" s="1" t="s">
        <v>68</v>
      </c>
      <c r="C40" s="2" t="s">
        <v>61</v>
      </c>
      <c r="D40" s="23">
        <f t="shared" si="17"/>
        <v>77000</v>
      </c>
      <c r="E40" s="23">
        <v>0</v>
      </c>
      <c r="F40" s="74">
        <f t="shared" si="13"/>
        <v>77000</v>
      </c>
      <c r="G40" s="73">
        <v>3500</v>
      </c>
      <c r="H40" s="73">
        <v>3500</v>
      </c>
      <c r="I40" s="73">
        <v>3500</v>
      </c>
      <c r="J40" s="73">
        <v>3500</v>
      </c>
      <c r="K40" s="73">
        <v>3500</v>
      </c>
      <c r="L40" s="73">
        <v>3500</v>
      </c>
      <c r="M40" s="73">
        <v>3500</v>
      </c>
      <c r="N40" s="73">
        <v>3500</v>
      </c>
      <c r="O40" s="73">
        <v>3500</v>
      </c>
      <c r="P40" s="73">
        <v>3500</v>
      </c>
      <c r="Q40" s="73">
        <v>3500</v>
      </c>
      <c r="R40" s="74">
        <f t="shared" si="14"/>
        <v>38500</v>
      </c>
      <c r="S40" s="96">
        <v>3500</v>
      </c>
      <c r="T40" s="73">
        <v>3500</v>
      </c>
      <c r="U40" s="73">
        <v>3500</v>
      </c>
      <c r="V40" s="73">
        <v>3500</v>
      </c>
      <c r="W40" s="73">
        <v>3500</v>
      </c>
      <c r="X40" s="73">
        <v>3500</v>
      </c>
      <c r="Y40" s="73">
        <v>3500</v>
      </c>
      <c r="Z40" s="73">
        <v>3500</v>
      </c>
      <c r="AA40" s="73">
        <v>3500</v>
      </c>
      <c r="AB40" s="73">
        <v>3500</v>
      </c>
      <c r="AC40" s="73">
        <v>3500</v>
      </c>
      <c r="AD40" s="74">
        <f t="shared" si="15"/>
        <v>38500</v>
      </c>
    </row>
    <row r="41" spans="1:30" ht="15" hidden="1" x14ac:dyDescent="0.25">
      <c r="A41" s="1105"/>
      <c r="B41" s="1" t="s">
        <v>69</v>
      </c>
      <c r="C41" s="2" t="s">
        <v>62</v>
      </c>
      <c r="D41" s="23">
        <f t="shared" si="17"/>
        <v>121000</v>
      </c>
      <c r="E41" s="23">
        <v>0</v>
      </c>
      <c r="F41" s="74">
        <f t="shared" si="13"/>
        <v>121000</v>
      </c>
      <c r="G41" s="73">
        <v>5500</v>
      </c>
      <c r="H41" s="73">
        <v>5500</v>
      </c>
      <c r="I41" s="73">
        <v>5500</v>
      </c>
      <c r="J41" s="73">
        <v>5500</v>
      </c>
      <c r="K41" s="73">
        <v>5500</v>
      </c>
      <c r="L41" s="73">
        <v>5500</v>
      </c>
      <c r="M41" s="73">
        <v>5500</v>
      </c>
      <c r="N41" s="73">
        <v>5500</v>
      </c>
      <c r="O41" s="73">
        <v>5500</v>
      </c>
      <c r="P41" s="73">
        <v>5500</v>
      </c>
      <c r="Q41" s="73">
        <v>5500</v>
      </c>
      <c r="R41" s="74">
        <f t="shared" si="14"/>
        <v>60500</v>
      </c>
      <c r="S41" s="96">
        <v>5500</v>
      </c>
      <c r="T41" s="73">
        <v>5500</v>
      </c>
      <c r="U41" s="73">
        <v>5500</v>
      </c>
      <c r="V41" s="73">
        <v>5500</v>
      </c>
      <c r="W41" s="73">
        <v>5500</v>
      </c>
      <c r="X41" s="73">
        <v>5500</v>
      </c>
      <c r="Y41" s="73">
        <v>5500</v>
      </c>
      <c r="Z41" s="73">
        <v>5500</v>
      </c>
      <c r="AA41" s="73">
        <v>5500</v>
      </c>
      <c r="AB41" s="73">
        <v>5500</v>
      </c>
      <c r="AC41" s="73">
        <v>5500</v>
      </c>
      <c r="AD41" s="74">
        <f t="shared" si="15"/>
        <v>60500</v>
      </c>
    </row>
    <row r="42" spans="1:30" ht="45" hidden="1" x14ac:dyDescent="0.25">
      <c r="A42" s="1105"/>
      <c r="B42" s="1" t="s">
        <v>70</v>
      </c>
      <c r="C42" s="3" t="s">
        <v>562</v>
      </c>
      <c r="D42" s="23">
        <f t="shared" si="17"/>
        <v>148760</v>
      </c>
      <c r="E42" s="23">
        <v>0</v>
      </c>
      <c r="F42" s="74">
        <f t="shared" si="13"/>
        <v>148760</v>
      </c>
      <c r="G42" s="73">
        <f>+'F1,F2,F3,F4 (Desglose)'!H45</f>
        <v>0</v>
      </c>
      <c r="H42" s="73">
        <f>+'F1,F2,F3,F4 (Desglose)'!I45</f>
        <v>0</v>
      </c>
      <c r="I42" s="73">
        <f>+'F1,F2,F3,F4 (Desglose)'!J45</f>
        <v>0</v>
      </c>
      <c r="J42" s="73">
        <f>+'F1,F2,F3,F4 (Desglose)'!K45</f>
        <v>4040</v>
      </c>
      <c r="K42" s="73">
        <f>+'F1,F2,F3,F4 (Desglose)'!L45</f>
        <v>8040</v>
      </c>
      <c r="L42" s="73">
        <f>+'F1,F2,F3,F4 (Desglose)'!M45</f>
        <v>8040</v>
      </c>
      <c r="M42" s="73">
        <f>+'F1,F2,F3,F4 (Desglose)'!N45</f>
        <v>8040</v>
      </c>
      <c r="N42" s="73">
        <f>+'F1,F2,F3,F4 (Desglose)'!O45</f>
        <v>8040</v>
      </c>
      <c r="O42" s="73">
        <f>+'F1,F2,F3,F4 (Desglose)'!P45</f>
        <v>8040</v>
      </c>
      <c r="P42" s="73">
        <f>+'F1,F2,F3,F4 (Desglose)'!Q45</f>
        <v>8040</v>
      </c>
      <c r="Q42" s="73">
        <f>+'F1,F2,F3,F4 (Desglose)'!R45</f>
        <v>8040</v>
      </c>
      <c r="R42" s="74">
        <f t="shared" si="14"/>
        <v>60320</v>
      </c>
      <c r="S42" s="96">
        <v>8040</v>
      </c>
      <c r="T42" s="73">
        <v>8040</v>
      </c>
      <c r="U42" s="73">
        <v>8040</v>
      </c>
      <c r="V42" s="73">
        <v>8040</v>
      </c>
      <c r="W42" s="73">
        <v>8040</v>
      </c>
      <c r="X42" s="73">
        <v>8040</v>
      </c>
      <c r="Y42" s="73">
        <v>8040</v>
      </c>
      <c r="Z42" s="73">
        <v>8040</v>
      </c>
      <c r="AA42" s="73">
        <v>8040</v>
      </c>
      <c r="AB42" s="73">
        <v>8040</v>
      </c>
      <c r="AC42" s="73">
        <v>8040</v>
      </c>
      <c r="AD42" s="74">
        <f t="shared" si="15"/>
        <v>88440</v>
      </c>
    </row>
    <row r="43" spans="1:30" ht="30" hidden="1" x14ac:dyDescent="0.25">
      <c r="A43" s="1105"/>
      <c r="B43" s="1" t="s">
        <v>71</v>
      </c>
      <c r="C43" s="3" t="s">
        <v>63</v>
      </c>
      <c r="D43" s="23">
        <f t="shared" si="17"/>
        <v>77000</v>
      </c>
      <c r="E43" s="23">
        <v>0</v>
      </c>
      <c r="F43" s="74">
        <f t="shared" si="13"/>
        <v>77000</v>
      </c>
      <c r="G43" s="73">
        <v>3500</v>
      </c>
      <c r="H43" s="73">
        <v>3500</v>
      </c>
      <c r="I43" s="73">
        <v>3500</v>
      </c>
      <c r="J43" s="73">
        <v>3500</v>
      </c>
      <c r="K43" s="73">
        <v>3500</v>
      </c>
      <c r="L43" s="73">
        <v>3500</v>
      </c>
      <c r="M43" s="73">
        <v>3500</v>
      </c>
      <c r="N43" s="73">
        <v>3500</v>
      </c>
      <c r="O43" s="73">
        <v>3500</v>
      </c>
      <c r="P43" s="73">
        <v>3500</v>
      </c>
      <c r="Q43" s="73">
        <v>3500</v>
      </c>
      <c r="R43" s="74">
        <f t="shared" si="14"/>
        <v>38500</v>
      </c>
      <c r="S43" s="96">
        <v>3500</v>
      </c>
      <c r="T43" s="73">
        <v>3500</v>
      </c>
      <c r="U43" s="73">
        <v>3500</v>
      </c>
      <c r="V43" s="73">
        <v>3500</v>
      </c>
      <c r="W43" s="73">
        <v>3500</v>
      </c>
      <c r="X43" s="73">
        <v>3500</v>
      </c>
      <c r="Y43" s="73">
        <v>3500</v>
      </c>
      <c r="Z43" s="73">
        <v>3500</v>
      </c>
      <c r="AA43" s="73">
        <v>3500</v>
      </c>
      <c r="AB43" s="73">
        <v>3500</v>
      </c>
      <c r="AC43" s="73">
        <v>3500</v>
      </c>
      <c r="AD43" s="74">
        <f t="shared" si="15"/>
        <v>38500</v>
      </c>
    </row>
    <row r="44" spans="1:30" s="4" customFormat="1" ht="30" hidden="1" x14ac:dyDescent="0.25">
      <c r="A44" s="1105"/>
      <c r="B44" s="1" t="s">
        <v>72</v>
      </c>
      <c r="C44" s="3" t="s">
        <v>64</v>
      </c>
      <c r="D44" s="23">
        <f t="shared" si="17"/>
        <v>121000</v>
      </c>
      <c r="E44" s="23">
        <v>0</v>
      </c>
      <c r="F44" s="74">
        <f t="shared" si="13"/>
        <v>121000</v>
      </c>
      <c r="G44" s="73">
        <v>5500</v>
      </c>
      <c r="H44" s="73">
        <v>5500</v>
      </c>
      <c r="I44" s="73">
        <v>5500</v>
      </c>
      <c r="J44" s="73">
        <v>5500</v>
      </c>
      <c r="K44" s="73">
        <v>5500</v>
      </c>
      <c r="L44" s="73">
        <v>5500</v>
      </c>
      <c r="M44" s="73">
        <v>5500</v>
      </c>
      <c r="N44" s="73">
        <v>5500</v>
      </c>
      <c r="O44" s="73">
        <v>5500</v>
      </c>
      <c r="P44" s="73">
        <v>5500</v>
      </c>
      <c r="Q44" s="73">
        <v>5500</v>
      </c>
      <c r="R44" s="74">
        <f t="shared" si="14"/>
        <v>60500</v>
      </c>
      <c r="S44" s="96">
        <v>5500</v>
      </c>
      <c r="T44" s="73">
        <v>5500</v>
      </c>
      <c r="U44" s="73">
        <v>5500</v>
      </c>
      <c r="V44" s="73">
        <v>5500</v>
      </c>
      <c r="W44" s="73">
        <v>5500</v>
      </c>
      <c r="X44" s="73">
        <v>5500</v>
      </c>
      <c r="Y44" s="73">
        <v>5500</v>
      </c>
      <c r="Z44" s="73">
        <v>5500</v>
      </c>
      <c r="AA44" s="73">
        <v>5500</v>
      </c>
      <c r="AB44" s="73">
        <v>5500</v>
      </c>
      <c r="AC44" s="73">
        <v>5500</v>
      </c>
      <c r="AD44" s="74">
        <f t="shared" si="15"/>
        <v>60500</v>
      </c>
    </row>
    <row r="45" spans="1:30" s="4" customFormat="1" ht="30" hidden="1" x14ac:dyDescent="0.25">
      <c r="A45" s="1105"/>
      <c r="B45" s="1" t="s">
        <v>73</v>
      </c>
      <c r="C45" s="3" t="s">
        <v>65</v>
      </c>
      <c r="D45" s="23">
        <f t="shared" si="17"/>
        <v>77000</v>
      </c>
      <c r="E45" s="23">
        <v>0</v>
      </c>
      <c r="F45" s="74">
        <f t="shared" si="13"/>
        <v>77000</v>
      </c>
      <c r="G45" s="73">
        <v>3500</v>
      </c>
      <c r="H45" s="73">
        <v>3500</v>
      </c>
      <c r="I45" s="73">
        <v>3500</v>
      </c>
      <c r="J45" s="73">
        <v>3500</v>
      </c>
      <c r="K45" s="73">
        <v>3500</v>
      </c>
      <c r="L45" s="73">
        <v>3500</v>
      </c>
      <c r="M45" s="73">
        <v>3500</v>
      </c>
      <c r="N45" s="73">
        <v>3500</v>
      </c>
      <c r="O45" s="73">
        <v>3500</v>
      </c>
      <c r="P45" s="73">
        <v>3500</v>
      </c>
      <c r="Q45" s="73">
        <v>3500</v>
      </c>
      <c r="R45" s="74">
        <f t="shared" si="14"/>
        <v>38500</v>
      </c>
      <c r="S45" s="96">
        <v>3500</v>
      </c>
      <c r="T45" s="73">
        <v>3500</v>
      </c>
      <c r="U45" s="73">
        <v>3500</v>
      </c>
      <c r="V45" s="73">
        <v>3500</v>
      </c>
      <c r="W45" s="73">
        <v>3500</v>
      </c>
      <c r="X45" s="73">
        <v>3500</v>
      </c>
      <c r="Y45" s="73">
        <v>3500</v>
      </c>
      <c r="Z45" s="73">
        <v>3500</v>
      </c>
      <c r="AA45" s="73">
        <v>3500</v>
      </c>
      <c r="AB45" s="73">
        <v>3500</v>
      </c>
      <c r="AC45" s="73">
        <v>3500</v>
      </c>
      <c r="AD45" s="74">
        <f t="shared" si="15"/>
        <v>38500</v>
      </c>
    </row>
    <row r="46" spans="1:30" s="4" customFormat="1" ht="15" hidden="1" x14ac:dyDescent="0.25">
      <c r="A46" s="1105"/>
      <c r="B46" s="1" t="s">
        <v>74</v>
      </c>
      <c r="C46" s="47" t="s">
        <v>66</v>
      </c>
      <c r="D46" s="23">
        <f t="shared" si="17"/>
        <v>190000</v>
      </c>
      <c r="E46" s="23">
        <v>0</v>
      </c>
      <c r="F46" s="74">
        <f t="shared" si="13"/>
        <v>190000</v>
      </c>
      <c r="G46" s="73">
        <f>+'F1,F2,F3,F4 (Desglose)'!H49</f>
        <v>0</v>
      </c>
      <c r="H46" s="73">
        <f>+'F1,F2,F3,F4 (Desglose)'!I49</f>
        <v>0</v>
      </c>
      <c r="I46" s="73">
        <f>+'F1,F2,F3,F4 (Desglose)'!J49</f>
        <v>0</v>
      </c>
      <c r="J46" s="73">
        <f>+'F1,F2,F3,F4 (Desglose)'!K49</f>
        <v>10000</v>
      </c>
      <c r="K46" s="73">
        <f>+'F1,F2,F3,F4 (Desglose)'!L49</f>
        <v>10000</v>
      </c>
      <c r="L46" s="73">
        <f>+'F1,F2,F3,F4 (Desglose)'!M49</f>
        <v>10000</v>
      </c>
      <c r="M46" s="73">
        <f>+'F1,F2,F3,F4 (Desglose)'!N49</f>
        <v>10000</v>
      </c>
      <c r="N46" s="73">
        <f>+'F1,F2,F3,F4 (Desglose)'!O49</f>
        <v>10000</v>
      </c>
      <c r="O46" s="73">
        <f>+'F1,F2,F3,F4 (Desglose)'!P49</f>
        <v>10000</v>
      </c>
      <c r="P46" s="73">
        <f>+'F1,F2,F3,F4 (Desglose)'!Q49</f>
        <v>10000</v>
      </c>
      <c r="Q46" s="73">
        <f>+'F1,F2,F3,F4 (Desglose)'!R49</f>
        <v>10000</v>
      </c>
      <c r="R46" s="74">
        <f t="shared" si="14"/>
        <v>80000</v>
      </c>
      <c r="S46" s="96">
        <v>10000</v>
      </c>
      <c r="T46" s="73">
        <v>10000</v>
      </c>
      <c r="U46" s="73">
        <v>10000</v>
      </c>
      <c r="V46" s="73">
        <v>10000</v>
      </c>
      <c r="W46" s="73">
        <v>10000</v>
      </c>
      <c r="X46" s="73">
        <v>10000</v>
      </c>
      <c r="Y46" s="73">
        <v>10000</v>
      </c>
      <c r="Z46" s="73">
        <v>10000</v>
      </c>
      <c r="AA46" s="73">
        <v>10000</v>
      </c>
      <c r="AB46" s="73">
        <v>10000</v>
      </c>
      <c r="AC46" s="73">
        <v>10000</v>
      </c>
      <c r="AD46" s="74">
        <f t="shared" si="15"/>
        <v>110000</v>
      </c>
    </row>
    <row r="47" spans="1:30" s="89" customFormat="1" ht="15.75" hidden="1" x14ac:dyDescent="0.25">
      <c r="A47" s="781" t="s">
        <v>788</v>
      </c>
      <c r="B47" s="782"/>
      <c r="C47" s="783"/>
      <c r="D47" s="784">
        <f>+D48</f>
        <v>0</v>
      </c>
      <c r="E47" s="784">
        <f>+E48</f>
        <v>180000</v>
      </c>
      <c r="F47" s="784">
        <f t="shared" ref="F47:F52" si="18">+D47+E47</f>
        <v>180000</v>
      </c>
      <c r="G47" s="784">
        <f>+G48</f>
        <v>0</v>
      </c>
      <c r="H47" s="784">
        <f t="shared" ref="H47:AD47" si="19">+H48</f>
        <v>7375</v>
      </c>
      <c r="I47" s="784">
        <f t="shared" si="19"/>
        <v>82625</v>
      </c>
      <c r="J47" s="784">
        <f t="shared" si="19"/>
        <v>90000</v>
      </c>
      <c r="K47" s="784">
        <f t="shared" si="19"/>
        <v>0</v>
      </c>
      <c r="L47" s="784">
        <f t="shared" si="19"/>
        <v>0</v>
      </c>
      <c r="M47" s="784">
        <f t="shared" si="19"/>
        <v>0</v>
      </c>
      <c r="N47" s="784">
        <f t="shared" si="19"/>
        <v>0</v>
      </c>
      <c r="O47" s="784">
        <f t="shared" si="19"/>
        <v>0</v>
      </c>
      <c r="P47" s="784">
        <f t="shared" si="19"/>
        <v>0</v>
      </c>
      <c r="Q47" s="784">
        <f t="shared" si="19"/>
        <v>0</v>
      </c>
      <c r="R47" s="784">
        <f t="shared" si="19"/>
        <v>180000</v>
      </c>
      <c r="S47" s="785">
        <f t="shared" si="19"/>
        <v>0</v>
      </c>
      <c r="T47" s="784">
        <f t="shared" si="19"/>
        <v>0</v>
      </c>
      <c r="U47" s="784">
        <f t="shared" si="19"/>
        <v>0</v>
      </c>
      <c r="V47" s="784">
        <f t="shared" si="19"/>
        <v>0</v>
      </c>
      <c r="W47" s="784">
        <f t="shared" si="19"/>
        <v>0</v>
      </c>
      <c r="X47" s="784">
        <f t="shared" si="19"/>
        <v>0</v>
      </c>
      <c r="Y47" s="784">
        <f t="shared" si="19"/>
        <v>0</v>
      </c>
      <c r="Z47" s="784">
        <f t="shared" si="19"/>
        <v>0</v>
      </c>
      <c r="AA47" s="784">
        <f t="shared" si="19"/>
        <v>0</v>
      </c>
      <c r="AB47" s="784">
        <f t="shared" si="19"/>
        <v>0</v>
      </c>
      <c r="AC47" s="784">
        <f t="shared" si="19"/>
        <v>0</v>
      </c>
      <c r="AD47" s="784">
        <f t="shared" si="19"/>
        <v>0</v>
      </c>
    </row>
    <row r="48" spans="1:30" s="89" customFormat="1" ht="15.75" hidden="1" x14ac:dyDescent="0.25">
      <c r="A48" s="1119"/>
      <c r="B48" s="1119"/>
      <c r="C48" s="1119"/>
      <c r="D48" s="786">
        <f>SUM(D49:D52)</f>
        <v>0</v>
      </c>
      <c r="E48" s="786">
        <f>SUM(E49:E52)</f>
        <v>180000</v>
      </c>
      <c r="F48" s="786">
        <f t="shared" si="18"/>
        <v>180000</v>
      </c>
      <c r="G48" s="786">
        <f>SUM(G49:G52)</f>
        <v>0</v>
      </c>
      <c r="H48" s="786">
        <f t="shared" ref="H48:AD48" si="20">SUM(H49:H52)</f>
        <v>7375</v>
      </c>
      <c r="I48" s="786">
        <f t="shared" si="20"/>
        <v>82625</v>
      </c>
      <c r="J48" s="786">
        <f t="shared" si="20"/>
        <v>90000</v>
      </c>
      <c r="K48" s="786">
        <f t="shared" si="20"/>
        <v>0</v>
      </c>
      <c r="L48" s="786">
        <f t="shared" si="20"/>
        <v>0</v>
      </c>
      <c r="M48" s="786">
        <f t="shared" si="20"/>
        <v>0</v>
      </c>
      <c r="N48" s="786">
        <f t="shared" si="20"/>
        <v>0</v>
      </c>
      <c r="O48" s="786">
        <f t="shared" si="20"/>
        <v>0</v>
      </c>
      <c r="P48" s="786">
        <f t="shared" si="20"/>
        <v>0</v>
      </c>
      <c r="Q48" s="786">
        <f t="shared" si="20"/>
        <v>0</v>
      </c>
      <c r="R48" s="786">
        <f t="shared" si="20"/>
        <v>180000</v>
      </c>
      <c r="S48" s="787">
        <f t="shared" si="20"/>
        <v>0</v>
      </c>
      <c r="T48" s="786">
        <f t="shared" si="20"/>
        <v>0</v>
      </c>
      <c r="U48" s="786">
        <f t="shared" si="20"/>
        <v>0</v>
      </c>
      <c r="V48" s="786">
        <f t="shared" si="20"/>
        <v>0</v>
      </c>
      <c r="W48" s="786">
        <f t="shared" si="20"/>
        <v>0</v>
      </c>
      <c r="X48" s="786">
        <f t="shared" si="20"/>
        <v>0</v>
      </c>
      <c r="Y48" s="786">
        <f t="shared" si="20"/>
        <v>0</v>
      </c>
      <c r="Z48" s="786">
        <f t="shared" si="20"/>
        <v>0</v>
      </c>
      <c r="AA48" s="786">
        <f t="shared" si="20"/>
        <v>0</v>
      </c>
      <c r="AB48" s="786">
        <f t="shared" si="20"/>
        <v>0</v>
      </c>
      <c r="AC48" s="786">
        <f t="shared" si="20"/>
        <v>0</v>
      </c>
      <c r="AD48" s="786">
        <f t="shared" si="20"/>
        <v>0</v>
      </c>
    </row>
    <row r="49" spans="1:30" s="62" customFormat="1" ht="15" hidden="1" x14ac:dyDescent="0.25">
      <c r="A49" s="1093" t="s">
        <v>789</v>
      </c>
      <c r="B49" s="60" t="s">
        <v>2</v>
      </c>
      <c r="C49" s="64" t="s">
        <v>22</v>
      </c>
      <c r="D49" s="79"/>
      <c r="E49" s="80">
        <f>+R49+AD49</f>
        <v>20000</v>
      </c>
      <c r="F49" s="236">
        <f t="shared" si="18"/>
        <v>20000</v>
      </c>
      <c r="G49" s="61">
        <f>+'F1,F2,F3,F4 (Desglose)'!H52</f>
        <v>0</v>
      </c>
      <c r="H49" s="61">
        <f>+'F1,F2,F3,F4 (Desglose)'!I52</f>
        <v>0</v>
      </c>
      <c r="I49" s="61">
        <f>+'F1,F2,F3,F4 (Desglose)'!J52</f>
        <v>0</v>
      </c>
      <c r="J49" s="61">
        <f>+'F1,F2,F3,F4 (Desglose)'!K52</f>
        <v>20000</v>
      </c>
      <c r="K49" s="61">
        <f>+'F1,F2,F3,F4 (Desglose)'!L52</f>
        <v>0</v>
      </c>
      <c r="L49" s="61">
        <f>+'F1,F2,F3,F4 (Desglose)'!M52</f>
        <v>0</v>
      </c>
      <c r="M49" s="61">
        <f>+'F1,F2,F3,F4 (Desglose)'!N52</f>
        <v>0</v>
      </c>
      <c r="N49" s="61">
        <f>+'F1,F2,F3,F4 (Desglose)'!O52</f>
        <v>0</v>
      </c>
      <c r="O49" s="61">
        <f>+'F1,F2,F3,F4 (Desglose)'!P52</f>
        <v>0</v>
      </c>
      <c r="P49" s="61">
        <f>+'F1,F2,F3,F4 (Desglose)'!Q52</f>
        <v>0</v>
      </c>
      <c r="Q49" s="61">
        <f>+'F1,F2,F3,F4 (Desglose)'!R52</f>
        <v>0</v>
      </c>
      <c r="R49" s="83">
        <f>SUM(G49:Q49)</f>
        <v>20000</v>
      </c>
      <c r="S49" s="61">
        <f>+'F1,F2,F3,F4 (Desglose)'!T52</f>
        <v>0</v>
      </c>
      <c r="T49" s="61">
        <f>+'F1,F2,F3,F4 (Desglose)'!U52</f>
        <v>0</v>
      </c>
      <c r="U49" s="61">
        <f>+'F1,F2,F3,F4 (Desglose)'!V52</f>
        <v>0</v>
      </c>
      <c r="V49" s="61">
        <f>+'F1,F2,F3,F4 (Desglose)'!W52</f>
        <v>0</v>
      </c>
      <c r="W49" s="61">
        <f>+'F1,F2,F3,F4 (Desglose)'!X52</f>
        <v>0</v>
      </c>
      <c r="X49" s="61">
        <f>+'F1,F2,F3,F4 (Desglose)'!Y52</f>
        <v>0</v>
      </c>
      <c r="Y49" s="61">
        <f>+'F1,F2,F3,F4 (Desglose)'!Z52</f>
        <v>0</v>
      </c>
      <c r="Z49" s="61">
        <f>+'F1,F2,F3,F4 (Desglose)'!AA52</f>
        <v>0</v>
      </c>
      <c r="AA49" s="61">
        <f>+'F1,F2,F3,F4 (Desglose)'!AB52</f>
        <v>0</v>
      </c>
      <c r="AB49" s="61">
        <f>+'F1,F2,F3,F4 (Desglose)'!AC52</f>
        <v>0</v>
      </c>
      <c r="AC49" s="61">
        <f>+'F1,F2,F3,F4 (Desglose)'!AD52</f>
        <v>0</v>
      </c>
      <c r="AD49" s="83">
        <f>SUM(S49:AC49)</f>
        <v>0</v>
      </c>
    </row>
    <row r="50" spans="1:30" s="62" customFormat="1" ht="15" hidden="1" x14ac:dyDescent="0.25">
      <c r="A50" s="1093"/>
      <c r="B50" s="764" t="s">
        <v>3</v>
      </c>
      <c r="C50" s="64" t="s">
        <v>23</v>
      </c>
      <c r="D50" s="79"/>
      <c r="E50" s="80">
        <f>+R50+AD50</f>
        <v>135000</v>
      </c>
      <c r="F50" s="236">
        <f t="shared" si="18"/>
        <v>135000</v>
      </c>
      <c r="G50" s="61">
        <f>+'F1,F2,F3,F4 (Desglose)'!H53</f>
        <v>0</v>
      </c>
      <c r="H50" s="61">
        <f>+'F1,F2,F3,F4 (Desglose)'!I53</f>
        <v>7375</v>
      </c>
      <c r="I50" s="61">
        <f>+'F1,F2,F3,F4 (Desglose)'!J53</f>
        <v>82625</v>
      </c>
      <c r="J50" s="61">
        <f>+'F1,F2,F3,F4 (Desglose)'!K53</f>
        <v>45000</v>
      </c>
      <c r="K50" s="61">
        <f>+'F1,F2,F3,F4 (Desglose)'!L53</f>
        <v>0</v>
      </c>
      <c r="L50" s="61">
        <f>+'F1,F2,F3,F4 (Desglose)'!M53</f>
        <v>0</v>
      </c>
      <c r="M50" s="61">
        <f>+'F1,F2,F3,F4 (Desglose)'!N53</f>
        <v>0</v>
      </c>
      <c r="N50" s="61">
        <f>+'F1,F2,F3,F4 (Desglose)'!O53</f>
        <v>0</v>
      </c>
      <c r="O50" s="61">
        <f>+'F1,F2,F3,F4 (Desglose)'!P53</f>
        <v>0</v>
      </c>
      <c r="P50" s="61">
        <f>+'F1,F2,F3,F4 (Desglose)'!Q53</f>
        <v>0</v>
      </c>
      <c r="Q50" s="61">
        <f>+'F1,F2,F3,F4 (Desglose)'!R53</f>
        <v>0</v>
      </c>
      <c r="R50" s="83">
        <f>SUM(G50:Q50)</f>
        <v>135000</v>
      </c>
      <c r="S50" s="61">
        <f>+'F1,F2,F3,F4 (Desglose)'!T53</f>
        <v>0</v>
      </c>
      <c r="T50" s="61">
        <f>+'F1,F2,F3,F4 (Desglose)'!U53</f>
        <v>0</v>
      </c>
      <c r="U50" s="61">
        <f>+'F1,F2,F3,F4 (Desglose)'!V53</f>
        <v>0</v>
      </c>
      <c r="V50" s="61">
        <f>+'F1,F2,F3,F4 (Desglose)'!W53</f>
        <v>0</v>
      </c>
      <c r="W50" s="61">
        <f>+'F1,F2,F3,F4 (Desglose)'!X53</f>
        <v>0</v>
      </c>
      <c r="X50" s="61">
        <f>+'F1,F2,F3,F4 (Desglose)'!Y53</f>
        <v>0</v>
      </c>
      <c r="Y50" s="61">
        <f>+'F1,F2,F3,F4 (Desglose)'!Z53</f>
        <v>0</v>
      </c>
      <c r="Z50" s="61">
        <f>+'F1,F2,F3,F4 (Desglose)'!AA53</f>
        <v>0</v>
      </c>
      <c r="AA50" s="61">
        <f>+'F1,F2,F3,F4 (Desglose)'!AB53</f>
        <v>0</v>
      </c>
      <c r="AB50" s="61">
        <f>+'F1,F2,F3,F4 (Desglose)'!AC53</f>
        <v>0</v>
      </c>
      <c r="AC50" s="61">
        <f>+'F1,F2,F3,F4 (Desglose)'!AD53</f>
        <v>0</v>
      </c>
      <c r="AD50" s="83">
        <f>SUM(S50:AC50)</f>
        <v>0</v>
      </c>
    </row>
    <row r="51" spans="1:30" s="62" customFormat="1" ht="30" hidden="1" x14ac:dyDescent="0.25">
      <c r="A51" s="1093"/>
      <c r="B51" s="764" t="s">
        <v>4</v>
      </c>
      <c r="C51" s="64" t="s">
        <v>25</v>
      </c>
      <c r="D51" s="79"/>
      <c r="E51" s="80">
        <f>+R51+AD51</f>
        <v>10000</v>
      </c>
      <c r="F51" s="236">
        <f t="shared" si="18"/>
        <v>10000</v>
      </c>
      <c r="G51" s="61">
        <f>+'F1,F2,F3,F4 (Desglose)'!H54</f>
        <v>0</v>
      </c>
      <c r="H51" s="61">
        <f>+'F1,F2,F3,F4 (Desglose)'!I54</f>
        <v>0</v>
      </c>
      <c r="I51" s="61">
        <f>+'F1,F2,F3,F4 (Desglose)'!J54</f>
        <v>0</v>
      </c>
      <c r="J51" s="61">
        <f>+'F1,F2,F3,F4 (Desglose)'!K54</f>
        <v>10000</v>
      </c>
      <c r="K51" s="61">
        <f>+'F1,F2,F3,F4 (Desglose)'!L54</f>
        <v>0</v>
      </c>
      <c r="L51" s="61">
        <f>+'F1,F2,F3,F4 (Desglose)'!M54</f>
        <v>0</v>
      </c>
      <c r="M51" s="61">
        <f>+'F1,F2,F3,F4 (Desglose)'!N54</f>
        <v>0</v>
      </c>
      <c r="N51" s="61">
        <f>+'F1,F2,F3,F4 (Desglose)'!O54</f>
        <v>0</v>
      </c>
      <c r="O51" s="61">
        <f>+'F1,F2,F3,F4 (Desglose)'!P54</f>
        <v>0</v>
      </c>
      <c r="P51" s="61">
        <f>+'F1,F2,F3,F4 (Desglose)'!Q54</f>
        <v>0</v>
      </c>
      <c r="Q51" s="61">
        <f>+'F1,F2,F3,F4 (Desglose)'!R54</f>
        <v>0</v>
      </c>
      <c r="R51" s="83">
        <f>SUM(G51:Q51)</f>
        <v>10000</v>
      </c>
      <c r="S51" s="61">
        <f>+'F1,F2,F3,F4 (Desglose)'!T54</f>
        <v>0</v>
      </c>
      <c r="T51" s="61">
        <f>+'F1,F2,F3,F4 (Desglose)'!U54</f>
        <v>0</v>
      </c>
      <c r="U51" s="61">
        <f>+'F1,F2,F3,F4 (Desglose)'!V54</f>
        <v>0</v>
      </c>
      <c r="V51" s="61">
        <f>+'F1,F2,F3,F4 (Desglose)'!W54</f>
        <v>0</v>
      </c>
      <c r="W51" s="61">
        <f>+'F1,F2,F3,F4 (Desglose)'!X54</f>
        <v>0</v>
      </c>
      <c r="X51" s="61">
        <f>+'F1,F2,F3,F4 (Desglose)'!Y54</f>
        <v>0</v>
      </c>
      <c r="Y51" s="61">
        <f>+'F1,F2,F3,F4 (Desglose)'!Z54</f>
        <v>0</v>
      </c>
      <c r="Z51" s="61">
        <f>+'F1,F2,F3,F4 (Desglose)'!AA54</f>
        <v>0</v>
      </c>
      <c r="AA51" s="61">
        <f>+'F1,F2,F3,F4 (Desglose)'!AB54</f>
        <v>0</v>
      </c>
      <c r="AB51" s="61">
        <f>+'F1,F2,F3,F4 (Desglose)'!AC54</f>
        <v>0</v>
      </c>
      <c r="AC51" s="61">
        <f>+'F1,F2,F3,F4 (Desglose)'!AD54</f>
        <v>0</v>
      </c>
      <c r="AD51" s="83">
        <f>SUM(S51:AC51)</f>
        <v>0</v>
      </c>
    </row>
    <row r="52" spans="1:30" s="62" customFormat="1" ht="15" hidden="1" x14ac:dyDescent="0.25">
      <c r="A52" s="1093"/>
      <c r="B52" s="764" t="s">
        <v>8</v>
      </c>
      <c r="C52" s="64" t="s">
        <v>24</v>
      </c>
      <c r="D52" s="79"/>
      <c r="E52" s="80">
        <f>+R52+AD52</f>
        <v>15000</v>
      </c>
      <c r="F52" s="236">
        <f t="shared" si="18"/>
        <v>15000</v>
      </c>
      <c r="G52" s="61">
        <f>+'F1,F2,F3,F4 (Desglose)'!H55</f>
        <v>0</v>
      </c>
      <c r="H52" s="61">
        <f>+'F1,F2,F3,F4 (Desglose)'!I55</f>
        <v>0</v>
      </c>
      <c r="I52" s="61">
        <f>+'F1,F2,F3,F4 (Desglose)'!J55</f>
        <v>0</v>
      </c>
      <c r="J52" s="61">
        <f>+'F1,F2,F3,F4 (Desglose)'!K55</f>
        <v>15000</v>
      </c>
      <c r="K52" s="61">
        <f>+'F1,F2,F3,F4 (Desglose)'!L55</f>
        <v>0</v>
      </c>
      <c r="L52" s="61">
        <f>+'F1,F2,F3,F4 (Desglose)'!M55</f>
        <v>0</v>
      </c>
      <c r="M52" s="61">
        <f>+'F1,F2,F3,F4 (Desglose)'!N55</f>
        <v>0</v>
      </c>
      <c r="N52" s="61">
        <f>+'F1,F2,F3,F4 (Desglose)'!O55</f>
        <v>0</v>
      </c>
      <c r="O52" s="61">
        <f>+'F1,F2,F3,F4 (Desglose)'!P55</f>
        <v>0</v>
      </c>
      <c r="P52" s="61">
        <f>+'F1,F2,F3,F4 (Desglose)'!Q55</f>
        <v>0</v>
      </c>
      <c r="Q52" s="61">
        <f>+'F1,F2,F3,F4 (Desglose)'!R55</f>
        <v>0</v>
      </c>
      <c r="R52" s="83">
        <f>SUM(G52:Q52)</f>
        <v>15000</v>
      </c>
      <c r="S52" s="61">
        <f>+'F1,F2,F3,F4 (Desglose)'!T55</f>
        <v>0</v>
      </c>
      <c r="T52" s="61">
        <f>+'F1,F2,F3,F4 (Desglose)'!U55</f>
        <v>0</v>
      </c>
      <c r="U52" s="61">
        <f>+'F1,F2,F3,F4 (Desglose)'!V55</f>
        <v>0</v>
      </c>
      <c r="V52" s="61">
        <f>+'F1,F2,F3,F4 (Desglose)'!W55</f>
        <v>0</v>
      </c>
      <c r="W52" s="61">
        <f>+'F1,F2,F3,F4 (Desglose)'!X55</f>
        <v>0</v>
      </c>
      <c r="X52" s="61">
        <f>+'F1,F2,F3,F4 (Desglose)'!Y55</f>
        <v>0</v>
      </c>
      <c r="Y52" s="61">
        <f>+'F1,F2,F3,F4 (Desglose)'!Z55</f>
        <v>0</v>
      </c>
      <c r="Z52" s="61">
        <f>+'F1,F2,F3,F4 (Desglose)'!AA55</f>
        <v>0</v>
      </c>
      <c r="AA52" s="61">
        <f>+'F1,F2,F3,F4 (Desglose)'!AB55</f>
        <v>0</v>
      </c>
      <c r="AB52" s="61">
        <f>+'F1,F2,F3,F4 (Desglose)'!AC55</f>
        <v>0</v>
      </c>
      <c r="AC52" s="61">
        <f>+'F1,F2,F3,F4 (Desglose)'!AD55</f>
        <v>0</v>
      </c>
      <c r="AD52" s="83">
        <f>SUM(S52:AC52)</f>
        <v>0</v>
      </c>
    </row>
    <row r="53" spans="1:30" s="621" customFormat="1" ht="52.5" customHeight="1" x14ac:dyDescent="0.3">
      <c r="A53" s="1120" t="s">
        <v>816</v>
      </c>
      <c r="B53" s="1120"/>
      <c r="C53" s="1120"/>
      <c r="D53" s="526">
        <v>5137500</v>
      </c>
      <c r="E53" s="526">
        <v>1994920.2999999998</v>
      </c>
      <c r="F53" s="526">
        <v>7132420.2999999998</v>
      </c>
      <c r="G53" s="526">
        <v>84000</v>
      </c>
      <c r="H53" s="526">
        <v>96000</v>
      </c>
      <c r="I53" s="526">
        <v>47000</v>
      </c>
      <c r="J53" s="526">
        <v>182500</v>
      </c>
      <c r="K53" s="526">
        <v>209000</v>
      </c>
      <c r="L53" s="526">
        <v>194000</v>
      </c>
      <c r="M53" s="526">
        <v>494500</v>
      </c>
      <c r="N53" s="526">
        <v>499363.5</v>
      </c>
      <c r="O53" s="526">
        <v>306000</v>
      </c>
      <c r="P53" s="526">
        <v>506700</v>
      </c>
      <c r="Q53" s="526">
        <v>164000</v>
      </c>
      <c r="R53" s="526">
        <v>2783063.5</v>
      </c>
      <c r="S53" s="526">
        <v>186000</v>
      </c>
      <c r="T53" s="526">
        <v>934220.29999999993</v>
      </c>
      <c r="U53" s="526">
        <v>685486.5</v>
      </c>
      <c r="V53" s="526">
        <v>894650</v>
      </c>
      <c r="W53" s="526">
        <v>254000</v>
      </c>
      <c r="X53" s="526">
        <v>477000</v>
      </c>
      <c r="Y53" s="526">
        <v>188000</v>
      </c>
      <c r="Z53" s="526">
        <v>186000</v>
      </c>
      <c r="AA53" s="526">
        <v>208000</v>
      </c>
      <c r="AB53" s="526">
        <v>150000</v>
      </c>
      <c r="AC53" s="526">
        <v>186000</v>
      </c>
      <c r="AD53" s="526">
        <v>4349356.8</v>
      </c>
    </row>
    <row r="54" spans="1:30" ht="36.75" customHeight="1" x14ac:dyDescent="0.3">
      <c r="A54" s="518" t="s">
        <v>817</v>
      </c>
      <c r="B54" s="519"/>
      <c r="C54" s="519"/>
      <c r="D54" s="520"/>
      <c r="E54" s="520"/>
      <c r="F54" s="521"/>
      <c r="G54" s="522"/>
      <c r="H54" s="523"/>
      <c r="I54" s="523"/>
      <c r="J54" s="523"/>
      <c r="K54" s="523"/>
      <c r="L54" s="523"/>
      <c r="M54" s="523"/>
      <c r="N54" s="523"/>
      <c r="O54" s="523"/>
      <c r="P54" s="523"/>
      <c r="Q54" s="523"/>
      <c r="R54" s="524"/>
      <c r="S54" s="523"/>
      <c r="T54" s="523"/>
      <c r="U54" s="523"/>
      <c r="V54" s="523"/>
      <c r="W54" s="523"/>
      <c r="X54" s="523"/>
      <c r="Y54" s="523"/>
      <c r="Z54" s="523"/>
      <c r="AA54" s="523"/>
      <c r="AB54" s="523"/>
      <c r="AC54" s="523"/>
      <c r="AD54" s="525"/>
    </row>
    <row r="55" spans="1:30" s="67" customFormat="1" ht="37.5" customHeight="1" x14ac:dyDescent="0.3">
      <c r="A55" s="1085" t="s">
        <v>818</v>
      </c>
      <c r="B55" s="1086"/>
      <c r="C55" s="1086"/>
      <c r="D55" s="1086"/>
      <c r="E55" s="1086"/>
      <c r="F55" s="1087"/>
      <c r="G55" s="222"/>
      <c r="H55" s="222"/>
      <c r="I55" s="222"/>
      <c r="J55" s="222"/>
      <c r="K55" s="222"/>
      <c r="L55" s="222"/>
      <c r="M55" s="222"/>
      <c r="N55" s="222"/>
      <c r="O55" s="222"/>
      <c r="P55" s="222"/>
      <c r="Q55" s="222"/>
      <c r="R55" s="248"/>
      <c r="S55" s="222"/>
      <c r="T55" s="222"/>
      <c r="U55" s="222"/>
      <c r="V55" s="222"/>
      <c r="W55" s="222"/>
      <c r="X55" s="222"/>
      <c r="Y55" s="222"/>
      <c r="Z55" s="222"/>
      <c r="AA55" s="222"/>
      <c r="AB55" s="222"/>
      <c r="AC55" s="222"/>
      <c r="AD55" s="222"/>
    </row>
    <row r="56" spans="1:30" ht="22.5" customHeight="1" x14ac:dyDescent="0.3">
      <c r="A56" s="1114" t="s">
        <v>92</v>
      </c>
      <c r="B56" s="40"/>
      <c r="C56" s="108"/>
      <c r="D56" s="70">
        <v>761950</v>
      </c>
      <c r="E56" s="70">
        <v>0</v>
      </c>
      <c r="F56" s="70">
        <v>761950</v>
      </c>
      <c r="G56" s="70">
        <v>37000</v>
      </c>
      <c r="H56" s="70">
        <v>42450</v>
      </c>
      <c r="I56" s="70">
        <v>0</v>
      </c>
      <c r="J56" s="70">
        <v>17500</v>
      </c>
      <c r="K56" s="70">
        <v>54000</v>
      </c>
      <c r="L56" s="70">
        <v>52000</v>
      </c>
      <c r="M56" s="70">
        <v>81000</v>
      </c>
      <c r="N56" s="70">
        <v>43000</v>
      </c>
      <c r="O56" s="70">
        <v>55000</v>
      </c>
      <c r="P56" s="70">
        <v>45000</v>
      </c>
      <c r="Q56" s="70">
        <v>44000</v>
      </c>
      <c r="R56" s="99">
        <v>470950</v>
      </c>
      <c r="S56" s="70">
        <v>31000</v>
      </c>
      <c r="T56" s="70">
        <v>51000</v>
      </c>
      <c r="U56" s="70">
        <v>41000</v>
      </c>
      <c r="V56" s="70">
        <v>41000</v>
      </c>
      <c r="W56" s="70">
        <v>41000</v>
      </c>
      <c r="X56" s="70">
        <v>16000</v>
      </c>
      <c r="Y56" s="70">
        <v>16000</v>
      </c>
      <c r="Z56" s="70">
        <v>16000</v>
      </c>
      <c r="AA56" s="70">
        <v>16000</v>
      </c>
      <c r="AB56" s="70">
        <v>16000</v>
      </c>
      <c r="AC56" s="70">
        <v>6000</v>
      </c>
      <c r="AD56" s="70">
        <v>291000</v>
      </c>
    </row>
    <row r="57" spans="1:30" s="62" customFormat="1" ht="63.75" customHeight="1" x14ac:dyDescent="0.3">
      <c r="A57" s="1116"/>
      <c r="B57" s="763" t="s">
        <v>2</v>
      </c>
      <c r="C57" s="243" t="s">
        <v>114</v>
      </c>
      <c r="D57" s="244">
        <v>572500</v>
      </c>
      <c r="E57" s="244">
        <v>0</v>
      </c>
      <c r="F57" s="236">
        <v>572500</v>
      </c>
      <c r="G57" s="61">
        <v>37000</v>
      </c>
      <c r="H57" s="61">
        <v>37000</v>
      </c>
      <c r="I57" s="61">
        <v>0</v>
      </c>
      <c r="J57" s="61">
        <v>11500</v>
      </c>
      <c r="K57" s="61">
        <v>48000</v>
      </c>
      <c r="L57" s="61">
        <v>48000</v>
      </c>
      <c r="M57" s="61">
        <v>60000</v>
      </c>
      <c r="N57" s="61">
        <v>35000</v>
      </c>
      <c r="O57" s="61">
        <v>35000</v>
      </c>
      <c r="P57" s="61">
        <v>35000</v>
      </c>
      <c r="Q57" s="61">
        <v>35000</v>
      </c>
      <c r="R57" s="249">
        <v>381500</v>
      </c>
      <c r="S57" s="61">
        <v>31000</v>
      </c>
      <c r="T57" s="61">
        <v>31000</v>
      </c>
      <c r="U57" s="61">
        <v>31000</v>
      </c>
      <c r="V57" s="61">
        <v>31000</v>
      </c>
      <c r="W57" s="61">
        <v>31000</v>
      </c>
      <c r="X57" s="61">
        <v>6000</v>
      </c>
      <c r="Y57" s="61">
        <v>6000</v>
      </c>
      <c r="Z57" s="61">
        <v>6000</v>
      </c>
      <c r="AA57" s="61">
        <v>6000</v>
      </c>
      <c r="AB57" s="61">
        <v>6000</v>
      </c>
      <c r="AC57" s="61">
        <v>6000</v>
      </c>
      <c r="AD57" s="83">
        <v>191000</v>
      </c>
    </row>
    <row r="58" spans="1:30" s="118" customFormat="1" ht="78" customHeight="1" x14ac:dyDescent="0.3">
      <c r="A58" s="1115"/>
      <c r="B58" s="763" t="s">
        <v>3</v>
      </c>
      <c r="C58" s="243" t="s">
        <v>643</v>
      </c>
      <c r="D58" s="202">
        <v>189450</v>
      </c>
      <c r="E58" s="202">
        <v>0</v>
      </c>
      <c r="F58" s="74">
        <v>189450</v>
      </c>
      <c r="G58" s="81">
        <v>0</v>
      </c>
      <c r="H58" s="81">
        <v>5450</v>
      </c>
      <c r="I58" s="81">
        <v>0</v>
      </c>
      <c r="J58" s="81">
        <v>6000</v>
      </c>
      <c r="K58" s="81">
        <v>6000</v>
      </c>
      <c r="L58" s="81">
        <v>4000</v>
      </c>
      <c r="M58" s="81">
        <v>21000</v>
      </c>
      <c r="N58" s="81">
        <v>8000</v>
      </c>
      <c r="O58" s="81">
        <v>20000</v>
      </c>
      <c r="P58" s="81">
        <v>10000</v>
      </c>
      <c r="Q58" s="81">
        <v>9000</v>
      </c>
      <c r="R58" s="250">
        <v>89450</v>
      </c>
      <c r="S58" s="81">
        <v>0</v>
      </c>
      <c r="T58" s="81">
        <v>20000</v>
      </c>
      <c r="U58" s="81">
        <v>10000</v>
      </c>
      <c r="V58" s="81">
        <v>10000</v>
      </c>
      <c r="W58" s="81">
        <v>10000</v>
      </c>
      <c r="X58" s="81">
        <v>10000</v>
      </c>
      <c r="Y58" s="81">
        <v>10000</v>
      </c>
      <c r="Z58" s="81">
        <v>10000</v>
      </c>
      <c r="AA58" s="81">
        <v>10000</v>
      </c>
      <c r="AB58" s="81">
        <v>10000</v>
      </c>
      <c r="AC58" s="81">
        <v>0</v>
      </c>
      <c r="AD58" s="241">
        <v>100000</v>
      </c>
    </row>
    <row r="59" spans="1:30" s="67" customFormat="1" ht="48" customHeight="1" x14ac:dyDescent="0.3">
      <c r="A59" s="238" t="s">
        <v>819</v>
      </c>
      <c r="B59" s="239"/>
      <c r="C59" s="777"/>
      <c r="D59" s="777"/>
      <c r="E59" s="777"/>
      <c r="F59" s="778"/>
      <c r="G59" s="222"/>
      <c r="H59" s="222"/>
      <c r="I59" s="222"/>
      <c r="J59" s="222"/>
      <c r="K59" s="222"/>
      <c r="L59" s="222"/>
      <c r="M59" s="222"/>
      <c r="N59" s="222"/>
      <c r="O59" s="222"/>
      <c r="P59" s="222"/>
      <c r="Q59" s="222"/>
      <c r="R59" s="248">
        <v>0</v>
      </c>
      <c r="S59" s="222"/>
      <c r="T59" s="222"/>
      <c r="U59" s="222"/>
      <c r="V59" s="222"/>
      <c r="W59" s="222"/>
      <c r="X59" s="222"/>
      <c r="Y59" s="222"/>
      <c r="Z59" s="222"/>
      <c r="AA59" s="222"/>
      <c r="AB59" s="222"/>
      <c r="AC59" s="222"/>
      <c r="AD59" s="222"/>
    </row>
    <row r="60" spans="1:30" ht="24.75" customHeight="1" x14ac:dyDescent="0.3">
      <c r="A60" s="1080" t="s">
        <v>110</v>
      </c>
      <c r="B60" s="40"/>
      <c r="C60" s="108"/>
      <c r="D60" s="70">
        <v>1881220</v>
      </c>
      <c r="E60" s="70">
        <v>300000</v>
      </c>
      <c r="F60" s="70">
        <v>2181220</v>
      </c>
      <c r="G60" s="70">
        <v>25000</v>
      </c>
      <c r="H60" s="70">
        <v>28220</v>
      </c>
      <c r="I60" s="70">
        <v>36000</v>
      </c>
      <c r="J60" s="70">
        <v>57000</v>
      </c>
      <c r="K60" s="70">
        <v>73000</v>
      </c>
      <c r="L60" s="70">
        <v>70000</v>
      </c>
      <c r="M60" s="70">
        <v>109000</v>
      </c>
      <c r="N60" s="70">
        <v>296863.5</v>
      </c>
      <c r="O60" s="70">
        <v>84000</v>
      </c>
      <c r="P60" s="70">
        <v>74000</v>
      </c>
      <c r="Q60" s="70">
        <v>76000</v>
      </c>
      <c r="R60" s="70">
        <v>929083.5</v>
      </c>
      <c r="S60" s="70">
        <v>87000</v>
      </c>
      <c r="T60" s="70">
        <v>93000</v>
      </c>
      <c r="U60" s="70">
        <v>170136.5</v>
      </c>
      <c r="V60" s="70">
        <v>93000</v>
      </c>
      <c r="W60" s="70">
        <v>99000</v>
      </c>
      <c r="X60" s="70">
        <v>368000</v>
      </c>
      <c r="Y60" s="70">
        <v>74000</v>
      </c>
      <c r="Z60" s="70">
        <v>66000</v>
      </c>
      <c r="AA60" s="70">
        <v>74000</v>
      </c>
      <c r="AB60" s="70">
        <v>66000</v>
      </c>
      <c r="AC60" s="70">
        <v>62000</v>
      </c>
      <c r="AD60" s="70">
        <v>1252136.5</v>
      </c>
    </row>
    <row r="61" spans="1:30" s="62" customFormat="1" ht="78" customHeight="1" x14ac:dyDescent="0.3">
      <c r="A61" s="1081"/>
      <c r="B61" s="763" t="s">
        <v>2</v>
      </c>
      <c r="C61" s="243" t="s">
        <v>207</v>
      </c>
      <c r="D61" s="244">
        <v>1245000</v>
      </c>
      <c r="E61" s="244">
        <v>0</v>
      </c>
      <c r="F61" s="236">
        <v>1245000</v>
      </c>
      <c r="G61" s="61">
        <v>25000</v>
      </c>
      <c r="H61" s="61">
        <v>25000</v>
      </c>
      <c r="I61" s="61">
        <v>36000</v>
      </c>
      <c r="J61" s="61">
        <v>53000</v>
      </c>
      <c r="K61" s="61">
        <v>70000</v>
      </c>
      <c r="L61" s="61">
        <v>70000</v>
      </c>
      <c r="M61" s="61">
        <v>76000</v>
      </c>
      <c r="N61" s="61">
        <v>51000</v>
      </c>
      <c r="O61" s="61">
        <v>51000</v>
      </c>
      <c r="P61" s="61">
        <v>51000</v>
      </c>
      <c r="Q61" s="61">
        <v>51000</v>
      </c>
      <c r="R61" s="249">
        <v>559000</v>
      </c>
      <c r="S61" s="61">
        <v>76000</v>
      </c>
      <c r="T61" s="61">
        <v>76000</v>
      </c>
      <c r="U61" s="61">
        <v>76000</v>
      </c>
      <c r="V61" s="61">
        <v>76000</v>
      </c>
      <c r="W61" s="61">
        <v>76000</v>
      </c>
      <c r="X61" s="61">
        <v>51000</v>
      </c>
      <c r="Y61" s="61">
        <v>51000</v>
      </c>
      <c r="Z61" s="61">
        <v>51000</v>
      </c>
      <c r="AA61" s="61">
        <v>51000</v>
      </c>
      <c r="AB61" s="61">
        <v>51000</v>
      </c>
      <c r="AC61" s="61">
        <v>51000</v>
      </c>
      <c r="AD61" s="83">
        <v>686000</v>
      </c>
    </row>
    <row r="62" spans="1:30" s="62" customFormat="1" ht="77.25" customHeight="1" x14ac:dyDescent="0.3">
      <c r="A62" s="1081"/>
      <c r="B62" s="763" t="s">
        <v>3</v>
      </c>
      <c r="C62" s="243" t="s">
        <v>644</v>
      </c>
      <c r="D62" s="202">
        <v>336220</v>
      </c>
      <c r="E62" s="202">
        <v>0</v>
      </c>
      <c r="F62" s="74">
        <v>336220</v>
      </c>
      <c r="G62" s="81">
        <v>0</v>
      </c>
      <c r="H62" s="81">
        <v>3220</v>
      </c>
      <c r="I62" s="81">
        <v>0</v>
      </c>
      <c r="J62" s="81">
        <v>4000</v>
      </c>
      <c r="K62" s="81">
        <v>3000</v>
      </c>
      <c r="L62" s="81">
        <v>0</v>
      </c>
      <c r="M62" s="81">
        <v>33000</v>
      </c>
      <c r="N62" s="81">
        <v>23000</v>
      </c>
      <c r="O62" s="81">
        <v>33000</v>
      </c>
      <c r="P62" s="81">
        <v>23000</v>
      </c>
      <c r="Q62" s="81">
        <v>25000</v>
      </c>
      <c r="R62" s="250">
        <v>147220</v>
      </c>
      <c r="S62" s="81">
        <v>11000</v>
      </c>
      <c r="T62" s="81">
        <v>17000</v>
      </c>
      <c r="U62" s="81">
        <v>17000</v>
      </c>
      <c r="V62" s="81">
        <v>17000</v>
      </c>
      <c r="W62" s="81">
        <v>23000</v>
      </c>
      <c r="X62" s="81">
        <v>17000</v>
      </c>
      <c r="Y62" s="81">
        <v>23000</v>
      </c>
      <c r="Z62" s="81">
        <v>15000</v>
      </c>
      <c r="AA62" s="81">
        <v>23000</v>
      </c>
      <c r="AB62" s="81">
        <v>15000</v>
      </c>
      <c r="AC62" s="81">
        <v>11000</v>
      </c>
      <c r="AD62" s="241">
        <v>189000</v>
      </c>
    </row>
    <row r="63" spans="1:30" s="62" customFormat="1" ht="96" customHeight="1" x14ac:dyDescent="0.3">
      <c r="A63" s="1081"/>
      <c r="B63" s="763" t="s">
        <v>4</v>
      </c>
      <c r="C63" s="243" t="s">
        <v>391</v>
      </c>
      <c r="D63" s="202">
        <v>300000</v>
      </c>
      <c r="E63" s="202">
        <v>0</v>
      </c>
      <c r="F63" s="74">
        <v>300000</v>
      </c>
      <c r="G63" s="81">
        <v>0</v>
      </c>
      <c r="H63" s="81">
        <v>0</v>
      </c>
      <c r="I63" s="81">
        <v>0</v>
      </c>
      <c r="J63" s="81">
        <v>0</v>
      </c>
      <c r="K63" s="81">
        <v>0</v>
      </c>
      <c r="L63" s="81">
        <v>0</v>
      </c>
      <c r="M63" s="81">
        <v>0</v>
      </c>
      <c r="N63" s="81">
        <v>72863.5</v>
      </c>
      <c r="O63" s="81">
        <v>0</v>
      </c>
      <c r="P63" s="81">
        <v>0</v>
      </c>
      <c r="Q63" s="81">
        <v>0</v>
      </c>
      <c r="R63" s="250">
        <v>72863.5</v>
      </c>
      <c r="S63" s="81">
        <v>0</v>
      </c>
      <c r="T63" s="81">
        <v>0</v>
      </c>
      <c r="U63" s="81">
        <v>77136.5</v>
      </c>
      <c r="V63" s="81">
        <v>0</v>
      </c>
      <c r="W63" s="81">
        <v>0</v>
      </c>
      <c r="X63" s="81">
        <v>150000</v>
      </c>
      <c r="Y63" s="81">
        <v>0</v>
      </c>
      <c r="Z63" s="81">
        <v>0</v>
      </c>
      <c r="AA63" s="81">
        <v>0</v>
      </c>
      <c r="AB63" s="81">
        <v>0</v>
      </c>
      <c r="AC63" s="81">
        <v>0</v>
      </c>
      <c r="AD63" s="241">
        <v>227136.5</v>
      </c>
    </row>
    <row r="64" spans="1:30" s="62" customFormat="1" ht="106.5" customHeight="1" x14ac:dyDescent="0.3">
      <c r="A64" s="1082"/>
      <c r="B64" s="763" t="s">
        <v>8</v>
      </c>
      <c r="C64" s="243" t="s">
        <v>392</v>
      </c>
      <c r="D64" s="202">
        <v>0</v>
      </c>
      <c r="E64" s="202">
        <v>300000</v>
      </c>
      <c r="F64" s="74">
        <v>300000</v>
      </c>
      <c r="G64" s="81">
        <v>0</v>
      </c>
      <c r="H64" s="81">
        <v>0</v>
      </c>
      <c r="I64" s="81">
        <v>0</v>
      </c>
      <c r="J64" s="81">
        <v>0</v>
      </c>
      <c r="K64" s="81">
        <v>0</v>
      </c>
      <c r="L64" s="81">
        <v>0</v>
      </c>
      <c r="M64" s="81">
        <v>0</v>
      </c>
      <c r="N64" s="81">
        <v>150000</v>
      </c>
      <c r="O64" s="81">
        <v>0</v>
      </c>
      <c r="P64" s="81">
        <v>0</v>
      </c>
      <c r="Q64" s="81">
        <v>0</v>
      </c>
      <c r="R64" s="615">
        <v>150000</v>
      </c>
      <c r="S64" s="81">
        <v>0</v>
      </c>
      <c r="T64" s="81">
        <v>0</v>
      </c>
      <c r="U64" s="81">
        <v>0</v>
      </c>
      <c r="V64" s="81">
        <v>0</v>
      </c>
      <c r="W64" s="81">
        <v>0</v>
      </c>
      <c r="X64" s="81">
        <v>150000</v>
      </c>
      <c r="Y64" s="81">
        <v>0</v>
      </c>
      <c r="Z64" s="81">
        <v>0</v>
      </c>
      <c r="AA64" s="81">
        <v>0</v>
      </c>
      <c r="AB64" s="81">
        <v>0</v>
      </c>
      <c r="AC64" s="81">
        <v>0</v>
      </c>
      <c r="AD64" s="619">
        <v>150000</v>
      </c>
    </row>
    <row r="65" spans="1:30" s="67" customFormat="1" ht="40.5" customHeight="1" x14ac:dyDescent="0.3">
      <c r="A65" s="237" t="s">
        <v>820</v>
      </c>
      <c r="B65" s="233"/>
      <c r="C65" s="772"/>
      <c r="D65" s="772"/>
      <c r="E65" s="772"/>
      <c r="F65" s="773"/>
      <c r="G65" s="220"/>
      <c r="H65" s="220"/>
      <c r="I65" s="220"/>
      <c r="J65" s="220"/>
      <c r="K65" s="220"/>
      <c r="L65" s="220"/>
      <c r="M65" s="220"/>
      <c r="N65" s="220"/>
      <c r="O65" s="220"/>
      <c r="P65" s="220"/>
      <c r="Q65" s="220"/>
      <c r="R65" s="247">
        <v>0</v>
      </c>
      <c r="S65" s="220"/>
      <c r="T65" s="220"/>
      <c r="U65" s="220"/>
      <c r="V65" s="220"/>
      <c r="W65" s="220"/>
      <c r="X65" s="220"/>
      <c r="Y65" s="220"/>
      <c r="Z65" s="220"/>
      <c r="AA65" s="220"/>
      <c r="AB65" s="220"/>
      <c r="AC65" s="220"/>
      <c r="AD65" s="242">
        <v>0</v>
      </c>
    </row>
    <row r="66" spans="1:30" s="67" customFormat="1" ht="43.5" customHeight="1" x14ac:dyDescent="0.3">
      <c r="A66" s="238" t="s">
        <v>821</v>
      </c>
      <c r="B66" s="239"/>
      <c r="C66" s="777"/>
      <c r="D66" s="777"/>
      <c r="E66" s="777"/>
      <c r="F66" s="778"/>
      <c r="G66" s="222"/>
      <c r="H66" s="222"/>
      <c r="I66" s="222"/>
      <c r="J66" s="222"/>
      <c r="K66" s="222"/>
      <c r="L66" s="222"/>
      <c r="M66" s="222"/>
      <c r="N66" s="222"/>
      <c r="O66" s="222"/>
      <c r="P66" s="222"/>
      <c r="Q66" s="222"/>
      <c r="R66" s="248">
        <v>0</v>
      </c>
      <c r="S66" s="222"/>
      <c r="T66" s="222"/>
      <c r="U66" s="222"/>
      <c r="V66" s="222"/>
      <c r="W66" s="222"/>
      <c r="X66" s="222"/>
      <c r="Y66" s="222"/>
      <c r="Z66" s="222"/>
      <c r="AA66" s="222"/>
      <c r="AB66" s="222"/>
      <c r="AC66" s="222"/>
      <c r="AD66" s="236">
        <v>0</v>
      </c>
    </row>
    <row r="67" spans="1:30" ht="25.5" customHeight="1" x14ac:dyDescent="0.3">
      <c r="A67" s="1080" t="s">
        <v>593</v>
      </c>
      <c r="B67" s="40"/>
      <c r="C67" s="108"/>
      <c r="D67" s="70">
        <v>912500</v>
      </c>
      <c r="E67" s="70">
        <v>0</v>
      </c>
      <c r="F67" s="70">
        <v>912500</v>
      </c>
      <c r="G67" s="70">
        <v>22000</v>
      </c>
      <c r="H67" s="70">
        <v>22000</v>
      </c>
      <c r="I67" s="70">
        <v>11000</v>
      </c>
      <c r="J67" s="70">
        <v>76500</v>
      </c>
      <c r="K67" s="70">
        <v>22000</v>
      </c>
      <c r="L67" s="70">
        <v>22000</v>
      </c>
      <c r="M67" s="70">
        <v>122000</v>
      </c>
      <c r="N67" s="70">
        <v>52000</v>
      </c>
      <c r="O67" s="70">
        <v>42000</v>
      </c>
      <c r="P67" s="70">
        <v>102000</v>
      </c>
      <c r="Q67" s="70">
        <v>22000</v>
      </c>
      <c r="R67" s="70">
        <v>515500</v>
      </c>
      <c r="S67" s="70">
        <v>17000</v>
      </c>
      <c r="T67" s="70">
        <v>37000</v>
      </c>
      <c r="U67" s="70">
        <v>37000</v>
      </c>
      <c r="V67" s="70">
        <v>97000</v>
      </c>
      <c r="W67" s="70">
        <v>27000</v>
      </c>
      <c r="X67" s="70">
        <v>27000</v>
      </c>
      <c r="Y67" s="70">
        <v>27000</v>
      </c>
      <c r="Z67" s="70">
        <v>27000</v>
      </c>
      <c r="AA67" s="70">
        <v>67000</v>
      </c>
      <c r="AB67" s="70">
        <v>17000</v>
      </c>
      <c r="AC67" s="70">
        <v>17000</v>
      </c>
      <c r="AD67" s="70">
        <v>397000</v>
      </c>
    </row>
    <row r="68" spans="1:30" s="62" customFormat="1" ht="138.75" customHeight="1" x14ac:dyDescent="0.3">
      <c r="A68" s="1081"/>
      <c r="B68" s="763" t="s">
        <v>2</v>
      </c>
      <c r="C68" s="245" t="s">
        <v>184</v>
      </c>
      <c r="D68" s="244">
        <v>412500</v>
      </c>
      <c r="E68" s="244">
        <v>0</v>
      </c>
      <c r="F68" s="236">
        <v>412500</v>
      </c>
      <c r="G68" s="61">
        <v>22000</v>
      </c>
      <c r="H68" s="61">
        <v>22000</v>
      </c>
      <c r="I68" s="61">
        <v>11000</v>
      </c>
      <c r="J68" s="61">
        <v>16500</v>
      </c>
      <c r="K68" s="61">
        <v>22000</v>
      </c>
      <c r="L68" s="61">
        <v>22000</v>
      </c>
      <c r="M68" s="61">
        <v>22000</v>
      </c>
      <c r="N68" s="61">
        <v>22000</v>
      </c>
      <c r="O68" s="61">
        <v>22000</v>
      </c>
      <c r="P68" s="61">
        <v>22000</v>
      </c>
      <c r="Q68" s="61">
        <v>22000</v>
      </c>
      <c r="R68" s="249">
        <v>225500</v>
      </c>
      <c r="S68" s="61">
        <v>17000</v>
      </c>
      <c r="T68" s="61">
        <v>17000</v>
      </c>
      <c r="U68" s="61">
        <v>17000</v>
      </c>
      <c r="V68" s="61">
        <v>17000</v>
      </c>
      <c r="W68" s="61">
        <v>17000</v>
      </c>
      <c r="X68" s="61">
        <v>17000</v>
      </c>
      <c r="Y68" s="61">
        <v>17000</v>
      </c>
      <c r="Z68" s="61">
        <v>17000</v>
      </c>
      <c r="AA68" s="61">
        <v>17000</v>
      </c>
      <c r="AB68" s="61">
        <v>17000</v>
      </c>
      <c r="AC68" s="61">
        <v>17000</v>
      </c>
      <c r="AD68" s="83">
        <v>187000</v>
      </c>
    </row>
    <row r="69" spans="1:30" s="62" customFormat="1" ht="130.5" customHeight="1" x14ac:dyDescent="0.3">
      <c r="A69" s="1082"/>
      <c r="B69" s="763" t="s">
        <v>3</v>
      </c>
      <c r="C69" s="243" t="s">
        <v>222</v>
      </c>
      <c r="D69" s="244">
        <v>500000</v>
      </c>
      <c r="E69" s="244">
        <v>0</v>
      </c>
      <c r="F69" s="236">
        <v>500000</v>
      </c>
      <c r="G69" s="61">
        <v>0</v>
      </c>
      <c r="H69" s="61">
        <v>0</v>
      </c>
      <c r="I69" s="61">
        <v>0</v>
      </c>
      <c r="J69" s="61">
        <v>60000</v>
      </c>
      <c r="K69" s="61">
        <v>0</v>
      </c>
      <c r="L69" s="61">
        <v>0</v>
      </c>
      <c r="M69" s="61">
        <v>100000</v>
      </c>
      <c r="N69" s="61">
        <v>30000</v>
      </c>
      <c r="O69" s="61">
        <v>20000</v>
      </c>
      <c r="P69" s="61">
        <v>80000</v>
      </c>
      <c r="Q69" s="61">
        <v>0</v>
      </c>
      <c r="R69" s="249">
        <v>290000</v>
      </c>
      <c r="S69" s="61">
        <v>0</v>
      </c>
      <c r="T69" s="61">
        <v>20000</v>
      </c>
      <c r="U69" s="61">
        <v>20000</v>
      </c>
      <c r="V69" s="61">
        <v>80000</v>
      </c>
      <c r="W69" s="61">
        <v>10000</v>
      </c>
      <c r="X69" s="61">
        <v>10000</v>
      </c>
      <c r="Y69" s="61">
        <v>10000</v>
      </c>
      <c r="Z69" s="61">
        <v>10000</v>
      </c>
      <c r="AA69" s="61">
        <v>50000</v>
      </c>
      <c r="AB69" s="61">
        <v>0</v>
      </c>
      <c r="AC69" s="61">
        <v>0</v>
      </c>
      <c r="AD69" s="83">
        <v>210000</v>
      </c>
    </row>
    <row r="70" spans="1:30" s="67" customFormat="1" ht="39.75" customHeight="1" x14ac:dyDescent="0.3">
      <c r="A70" s="237" t="s">
        <v>822</v>
      </c>
      <c r="B70" s="233"/>
      <c r="C70" s="772"/>
      <c r="D70" s="772"/>
      <c r="E70" s="772"/>
      <c r="F70" s="773"/>
      <c r="G70" s="220"/>
      <c r="H70" s="220"/>
      <c r="I70" s="220"/>
      <c r="J70" s="220"/>
      <c r="K70" s="220"/>
      <c r="L70" s="220"/>
      <c r="M70" s="220"/>
      <c r="N70" s="220"/>
      <c r="O70" s="220"/>
      <c r="P70" s="220"/>
      <c r="Q70" s="220"/>
      <c r="R70" s="247">
        <v>0</v>
      </c>
      <c r="S70" s="220"/>
      <c r="T70" s="220"/>
      <c r="U70" s="220"/>
      <c r="V70" s="220"/>
      <c r="W70" s="220"/>
      <c r="X70" s="220"/>
      <c r="Y70" s="220"/>
      <c r="Z70" s="220"/>
      <c r="AA70" s="220"/>
      <c r="AB70" s="220"/>
      <c r="AC70" s="220"/>
      <c r="AD70" s="242">
        <v>0</v>
      </c>
    </row>
    <row r="71" spans="1:30" s="67" customFormat="1" ht="47.25" customHeight="1" x14ac:dyDescent="0.3">
      <c r="A71" s="238" t="s">
        <v>823</v>
      </c>
      <c r="B71" s="239"/>
      <c r="C71" s="777"/>
      <c r="D71" s="777"/>
      <c r="E71" s="777"/>
      <c r="F71" s="778"/>
      <c r="G71" s="222"/>
      <c r="H71" s="222"/>
      <c r="I71" s="222"/>
      <c r="J71" s="222"/>
      <c r="K71" s="222"/>
      <c r="L71" s="222"/>
      <c r="M71" s="222"/>
      <c r="N71" s="222"/>
      <c r="O71" s="222"/>
      <c r="P71" s="222"/>
      <c r="Q71" s="222"/>
      <c r="R71" s="248">
        <v>0</v>
      </c>
      <c r="S71" s="222"/>
      <c r="T71" s="222"/>
      <c r="U71" s="222"/>
      <c r="V71" s="222"/>
      <c r="W71" s="222"/>
      <c r="X71" s="222"/>
      <c r="Y71" s="222"/>
      <c r="Z71" s="222"/>
      <c r="AA71" s="222"/>
      <c r="AB71" s="222"/>
      <c r="AC71" s="222"/>
      <c r="AD71" s="236">
        <v>0</v>
      </c>
    </row>
    <row r="72" spans="1:30" ht="24" customHeight="1" x14ac:dyDescent="0.3">
      <c r="A72" s="1114" t="s">
        <v>94</v>
      </c>
      <c r="B72" s="40"/>
      <c r="C72" s="108"/>
      <c r="D72" s="70">
        <v>377000</v>
      </c>
      <c r="E72" s="70">
        <v>343416.08999999997</v>
      </c>
      <c r="F72" s="70">
        <v>720416.09</v>
      </c>
      <c r="G72" s="70">
        <v>0</v>
      </c>
      <c r="H72" s="70">
        <v>0</v>
      </c>
      <c r="I72" s="70">
        <v>0</v>
      </c>
      <c r="J72" s="70">
        <v>15000</v>
      </c>
      <c r="K72" s="70">
        <v>0</v>
      </c>
      <c r="L72" s="70">
        <v>0</v>
      </c>
      <c r="M72" s="70">
        <v>82000</v>
      </c>
      <c r="N72" s="70">
        <v>81000</v>
      </c>
      <c r="O72" s="70">
        <v>46000</v>
      </c>
      <c r="P72" s="70">
        <v>6000</v>
      </c>
      <c r="Q72" s="70">
        <v>6000</v>
      </c>
      <c r="R72" s="99">
        <v>236000</v>
      </c>
      <c r="S72" s="70">
        <v>6000</v>
      </c>
      <c r="T72" s="70">
        <v>193566.09</v>
      </c>
      <c r="U72" s="70">
        <v>106000</v>
      </c>
      <c r="V72" s="70">
        <v>136850</v>
      </c>
      <c r="W72" s="70">
        <v>6000</v>
      </c>
      <c r="X72" s="70">
        <v>21000</v>
      </c>
      <c r="Y72" s="70">
        <v>15000</v>
      </c>
      <c r="Z72" s="70">
        <v>0</v>
      </c>
      <c r="AA72" s="70">
        <v>0</v>
      </c>
      <c r="AB72" s="70">
        <v>0</v>
      </c>
      <c r="AC72" s="70">
        <v>0</v>
      </c>
      <c r="AD72" s="70">
        <v>484416.08999999997</v>
      </c>
    </row>
    <row r="73" spans="1:30" s="62" customFormat="1" ht="114.75" customHeight="1" x14ac:dyDescent="0.3">
      <c r="A73" s="1116"/>
      <c r="B73" s="763" t="s">
        <v>2</v>
      </c>
      <c r="C73" s="243" t="s">
        <v>852</v>
      </c>
      <c r="D73" s="244">
        <v>202000</v>
      </c>
      <c r="E73" s="244">
        <v>0</v>
      </c>
      <c r="F73" s="236">
        <v>202000</v>
      </c>
      <c r="G73" s="61">
        <v>0</v>
      </c>
      <c r="H73" s="61">
        <v>0</v>
      </c>
      <c r="I73" s="61">
        <v>0</v>
      </c>
      <c r="J73" s="61">
        <v>15000</v>
      </c>
      <c r="K73" s="61">
        <v>0</v>
      </c>
      <c r="L73" s="61">
        <v>0</v>
      </c>
      <c r="M73" s="61">
        <v>32000</v>
      </c>
      <c r="N73" s="61">
        <v>6000</v>
      </c>
      <c r="O73" s="61">
        <v>46000</v>
      </c>
      <c r="P73" s="61">
        <v>6000</v>
      </c>
      <c r="Q73" s="61">
        <v>6000</v>
      </c>
      <c r="R73" s="249">
        <v>111000</v>
      </c>
      <c r="S73" s="61">
        <v>6000</v>
      </c>
      <c r="T73" s="61">
        <v>6000</v>
      </c>
      <c r="U73" s="61">
        <v>31000</v>
      </c>
      <c r="V73" s="61">
        <v>6000</v>
      </c>
      <c r="W73" s="61">
        <v>6000</v>
      </c>
      <c r="X73" s="61">
        <v>21000</v>
      </c>
      <c r="Y73" s="61">
        <v>15000</v>
      </c>
      <c r="Z73" s="61">
        <v>0</v>
      </c>
      <c r="AA73" s="61">
        <v>0</v>
      </c>
      <c r="AB73" s="61">
        <v>0</v>
      </c>
      <c r="AC73" s="61">
        <v>0</v>
      </c>
      <c r="AD73" s="83">
        <v>91000</v>
      </c>
    </row>
    <row r="74" spans="1:30" s="118" customFormat="1" ht="106.5" customHeight="1" x14ac:dyDescent="0.3">
      <c r="A74" s="1116"/>
      <c r="B74" s="763" t="s">
        <v>3</v>
      </c>
      <c r="C74" s="243" t="s">
        <v>188</v>
      </c>
      <c r="D74" s="202">
        <v>175000</v>
      </c>
      <c r="E74" s="202">
        <v>0</v>
      </c>
      <c r="F74" s="74">
        <v>175000</v>
      </c>
      <c r="G74" s="164">
        <v>0</v>
      </c>
      <c r="H74" s="164">
        <v>0</v>
      </c>
      <c r="I74" s="164">
        <v>0</v>
      </c>
      <c r="J74" s="164">
        <v>0</v>
      </c>
      <c r="K74" s="164">
        <v>0</v>
      </c>
      <c r="L74" s="164">
        <v>0</v>
      </c>
      <c r="M74" s="164">
        <v>50000</v>
      </c>
      <c r="N74" s="164">
        <v>50000</v>
      </c>
      <c r="O74" s="164">
        <v>0</v>
      </c>
      <c r="P74" s="164">
        <v>0</v>
      </c>
      <c r="Q74" s="164">
        <v>0</v>
      </c>
      <c r="R74" s="251">
        <v>100000</v>
      </c>
      <c r="S74" s="164">
        <v>0</v>
      </c>
      <c r="T74" s="164">
        <v>0</v>
      </c>
      <c r="U74" s="164">
        <v>75000</v>
      </c>
      <c r="V74" s="164">
        <v>0</v>
      </c>
      <c r="W74" s="164">
        <v>0</v>
      </c>
      <c r="X74" s="164">
        <v>0</v>
      </c>
      <c r="Y74" s="164">
        <v>0</v>
      </c>
      <c r="Z74" s="164">
        <v>0</v>
      </c>
      <c r="AA74" s="164">
        <v>0</v>
      </c>
      <c r="AB74" s="164">
        <v>0</v>
      </c>
      <c r="AC74" s="164">
        <v>0</v>
      </c>
      <c r="AD74" s="82">
        <v>75000</v>
      </c>
    </row>
    <row r="75" spans="1:30" s="118" customFormat="1" ht="72.75" customHeight="1" x14ac:dyDescent="0.3">
      <c r="A75" s="1116"/>
      <c r="B75" s="763" t="s">
        <v>4</v>
      </c>
      <c r="C75" s="243" t="s">
        <v>181</v>
      </c>
      <c r="D75" s="202">
        <v>0</v>
      </c>
      <c r="E75" s="202">
        <v>155566.09</v>
      </c>
      <c r="F75" s="74">
        <v>155566.09</v>
      </c>
      <c r="G75" s="164">
        <v>0</v>
      </c>
      <c r="H75" s="164">
        <v>0</v>
      </c>
      <c r="I75" s="164">
        <v>0</v>
      </c>
      <c r="J75" s="164">
        <v>0</v>
      </c>
      <c r="K75" s="164">
        <v>0</v>
      </c>
      <c r="L75" s="164">
        <v>0</v>
      </c>
      <c r="M75" s="164">
        <v>0</v>
      </c>
      <c r="N75" s="164">
        <v>25000</v>
      </c>
      <c r="O75" s="164">
        <v>0</v>
      </c>
      <c r="P75" s="164">
        <v>0</v>
      </c>
      <c r="Q75" s="164">
        <v>0</v>
      </c>
      <c r="R75" s="616">
        <v>25000</v>
      </c>
      <c r="S75" s="164">
        <v>0</v>
      </c>
      <c r="T75" s="164">
        <v>115566.09</v>
      </c>
      <c r="U75" s="164">
        <v>0</v>
      </c>
      <c r="V75" s="164">
        <v>15000</v>
      </c>
      <c r="W75" s="164">
        <v>0</v>
      </c>
      <c r="X75" s="164">
        <v>0</v>
      </c>
      <c r="Y75" s="164">
        <v>0</v>
      </c>
      <c r="Z75" s="164">
        <v>0</v>
      </c>
      <c r="AA75" s="164">
        <v>0</v>
      </c>
      <c r="AB75" s="164">
        <v>0</v>
      </c>
      <c r="AC75" s="164">
        <v>0</v>
      </c>
      <c r="AD75" s="620">
        <v>130566.09</v>
      </c>
    </row>
    <row r="76" spans="1:30" s="118" customFormat="1" ht="69.75" customHeight="1" x14ac:dyDescent="0.3">
      <c r="A76" s="1115"/>
      <c r="B76" s="763" t="s">
        <v>8</v>
      </c>
      <c r="C76" s="243" t="s">
        <v>535</v>
      </c>
      <c r="D76" s="202">
        <v>0</v>
      </c>
      <c r="E76" s="202">
        <v>187850</v>
      </c>
      <c r="F76" s="74">
        <v>187850</v>
      </c>
      <c r="G76" s="81">
        <v>0</v>
      </c>
      <c r="H76" s="81">
        <v>0</v>
      </c>
      <c r="I76" s="81">
        <v>0</v>
      </c>
      <c r="J76" s="81">
        <v>0</v>
      </c>
      <c r="K76" s="81">
        <v>0</v>
      </c>
      <c r="L76" s="81">
        <v>0</v>
      </c>
      <c r="M76" s="81">
        <v>0</v>
      </c>
      <c r="N76" s="81">
        <v>0</v>
      </c>
      <c r="O76" s="81">
        <v>0</v>
      </c>
      <c r="P76" s="81">
        <v>0</v>
      </c>
      <c r="Q76" s="81">
        <v>0</v>
      </c>
      <c r="R76" s="615">
        <v>0</v>
      </c>
      <c r="S76" s="81">
        <v>0</v>
      </c>
      <c r="T76" s="81">
        <v>72000</v>
      </c>
      <c r="U76" s="81">
        <v>0</v>
      </c>
      <c r="V76" s="81">
        <v>115850</v>
      </c>
      <c r="W76" s="81">
        <v>0</v>
      </c>
      <c r="X76" s="81">
        <v>0</v>
      </c>
      <c r="Y76" s="81">
        <v>0</v>
      </c>
      <c r="Z76" s="81">
        <v>0</v>
      </c>
      <c r="AA76" s="81">
        <v>0</v>
      </c>
      <c r="AB76" s="81">
        <v>0</v>
      </c>
      <c r="AC76" s="81">
        <v>0</v>
      </c>
      <c r="AD76" s="619">
        <v>187850</v>
      </c>
    </row>
    <row r="77" spans="1:30" ht="24" customHeight="1" x14ac:dyDescent="0.3">
      <c r="A77" s="1114" t="s">
        <v>95</v>
      </c>
      <c r="B77" s="40"/>
      <c r="C77" s="108"/>
      <c r="D77" s="70">
        <v>626000</v>
      </c>
      <c r="E77" s="70">
        <v>799704.21</v>
      </c>
      <c r="F77" s="70">
        <v>1425704.21</v>
      </c>
      <c r="G77" s="70">
        <v>0</v>
      </c>
      <c r="H77" s="70">
        <v>0</v>
      </c>
      <c r="I77" s="70">
        <v>0</v>
      </c>
      <c r="J77" s="70">
        <v>15000</v>
      </c>
      <c r="K77" s="70">
        <v>60000</v>
      </c>
      <c r="L77" s="70">
        <v>50000</v>
      </c>
      <c r="M77" s="70">
        <v>41000</v>
      </c>
      <c r="N77" s="70">
        <v>11000</v>
      </c>
      <c r="O77" s="70">
        <v>11000</v>
      </c>
      <c r="P77" s="70">
        <v>265700</v>
      </c>
      <c r="Q77" s="70">
        <v>11000</v>
      </c>
      <c r="R77" s="99">
        <v>464700</v>
      </c>
      <c r="S77" s="70">
        <v>11000</v>
      </c>
      <c r="T77" s="70">
        <v>450654.20999999996</v>
      </c>
      <c r="U77" s="70">
        <v>281350</v>
      </c>
      <c r="V77" s="70">
        <v>11000</v>
      </c>
      <c r="W77" s="70">
        <v>41000</v>
      </c>
      <c r="X77" s="70">
        <v>11000</v>
      </c>
      <c r="Y77" s="70">
        <v>17000</v>
      </c>
      <c r="Z77" s="70">
        <v>37000</v>
      </c>
      <c r="AA77" s="70">
        <v>17000</v>
      </c>
      <c r="AB77" s="70">
        <v>17000</v>
      </c>
      <c r="AC77" s="70">
        <v>67000</v>
      </c>
      <c r="AD77" s="70">
        <v>961004.21</v>
      </c>
    </row>
    <row r="78" spans="1:30" s="62" customFormat="1" ht="146.25" customHeight="1" x14ac:dyDescent="0.3">
      <c r="A78" s="1116"/>
      <c r="B78" s="767" t="s">
        <v>2</v>
      </c>
      <c r="C78" s="232" t="s">
        <v>195</v>
      </c>
      <c r="D78" s="244">
        <v>626000</v>
      </c>
      <c r="E78" s="244">
        <v>0</v>
      </c>
      <c r="F78" s="236">
        <v>626000</v>
      </c>
      <c r="G78" s="61">
        <v>0</v>
      </c>
      <c r="H78" s="61">
        <v>0</v>
      </c>
      <c r="I78" s="61">
        <v>0</v>
      </c>
      <c r="J78" s="61">
        <v>15000</v>
      </c>
      <c r="K78" s="61">
        <v>15000</v>
      </c>
      <c r="L78" s="61">
        <v>50000</v>
      </c>
      <c r="M78" s="61">
        <v>41000</v>
      </c>
      <c r="N78" s="61">
        <v>11000</v>
      </c>
      <c r="O78" s="61">
        <v>11000</v>
      </c>
      <c r="P78" s="61">
        <v>76000</v>
      </c>
      <c r="Q78" s="61">
        <v>11000</v>
      </c>
      <c r="R78" s="249">
        <v>230000</v>
      </c>
      <c r="S78" s="61">
        <v>11000</v>
      </c>
      <c r="T78" s="61">
        <v>76000</v>
      </c>
      <c r="U78" s="61">
        <v>91000</v>
      </c>
      <c r="V78" s="61">
        <v>11000</v>
      </c>
      <c r="W78" s="61">
        <v>41000</v>
      </c>
      <c r="X78" s="61">
        <v>11000</v>
      </c>
      <c r="Y78" s="61">
        <v>17000</v>
      </c>
      <c r="Z78" s="61">
        <v>37000</v>
      </c>
      <c r="AA78" s="61">
        <v>17000</v>
      </c>
      <c r="AB78" s="61">
        <v>17000</v>
      </c>
      <c r="AC78" s="61">
        <v>67000</v>
      </c>
      <c r="AD78" s="83">
        <v>396000</v>
      </c>
    </row>
    <row r="79" spans="1:30" s="62" customFormat="1" ht="130.5" customHeight="1" x14ac:dyDescent="0.3">
      <c r="A79" s="1115"/>
      <c r="B79" s="776" t="s">
        <v>3</v>
      </c>
      <c r="C79" s="245" t="s">
        <v>538</v>
      </c>
      <c r="D79" s="202">
        <v>0</v>
      </c>
      <c r="E79" s="202">
        <v>799704.21</v>
      </c>
      <c r="F79" s="74">
        <v>799704.21</v>
      </c>
      <c r="G79" s="164">
        <v>0</v>
      </c>
      <c r="H79" s="164">
        <v>0</v>
      </c>
      <c r="I79" s="164">
        <v>0</v>
      </c>
      <c r="J79" s="164">
        <v>0</v>
      </c>
      <c r="K79" s="164">
        <v>45000</v>
      </c>
      <c r="L79" s="164">
        <v>0</v>
      </c>
      <c r="M79" s="164">
        <v>0</v>
      </c>
      <c r="N79" s="164">
        <v>0</v>
      </c>
      <c r="O79" s="164">
        <v>0</v>
      </c>
      <c r="P79" s="164">
        <v>189700</v>
      </c>
      <c r="Q79" s="164">
        <v>0</v>
      </c>
      <c r="R79" s="616">
        <v>234700</v>
      </c>
      <c r="S79" s="164">
        <v>0</v>
      </c>
      <c r="T79" s="164">
        <v>374654.20999999996</v>
      </c>
      <c r="U79" s="164">
        <v>190350</v>
      </c>
      <c r="V79" s="164">
        <v>0</v>
      </c>
      <c r="W79" s="164">
        <v>0</v>
      </c>
      <c r="X79" s="164">
        <v>0</v>
      </c>
      <c r="Y79" s="164">
        <v>0</v>
      </c>
      <c r="Z79" s="164">
        <v>0</v>
      </c>
      <c r="AA79" s="164">
        <v>0</v>
      </c>
      <c r="AB79" s="164">
        <v>0</v>
      </c>
      <c r="AC79" s="164">
        <v>0</v>
      </c>
      <c r="AD79" s="620">
        <v>565004.21</v>
      </c>
    </row>
    <row r="80" spans="1:30" ht="22.5" customHeight="1" x14ac:dyDescent="0.3">
      <c r="A80" s="1080" t="s">
        <v>221</v>
      </c>
      <c r="B80" s="40"/>
      <c r="C80" s="108"/>
      <c r="D80" s="70">
        <v>106000</v>
      </c>
      <c r="E80" s="70">
        <v>75000</v>
      </c>
      <c r="F80" s="70">
        <v>181000</v>
      </c>
      <c r="G80" s="70">
        <v>0</v>
      </c>
      <c r="H80" s="70">
        <v>0</v>
      </c>
      <c r="I80" s="70">
        <v>0</v>
      </c>
      <c r="J80" s="70">
        <v>0</v>
      </c>
      <c r="K80" s="70">
        <v>0</v>
      </c>
      <c r="L80" s="70">
        <v>0</v>
      </c>
      <c r="M80" s="70">
        <v>40000</v>
      </c>
      <c r="N80" s="70">
        <v>0</v>
      </c>
      <c r="O80" s="70">
        <v>66000</v>
      </c>
      <c r="P80" s="70">
        <v>0</v>
      </c>
      <c r="Q80" s="70">
        <v>0</v>
      </c>
      <c r="R80" s="70">
        <v>106000</v>
      </c>
      <c r="S80" s="70">
        <v>0</v>
      </c>
      <c r="T80" s="70">
        <v>75000</v>
      </c>
      <c r="U80" s="70">
        <v>0</v>
      </c>
      <c r="V80" s="70">
        <v>0</v>
      </c>
      <c r="W80" s="70">
        <v>0</v>
      </c>
      <c r="X80" s="70">
        <v>0</v>
      </c>
      <c r="Y80" s="70">
        <v>0</v>
      </c>
      <c r="Z80" s="70">
        <v>0</v>
      </c>
      <c r="AA80" s="70">
        <v>0</v>
      </c>
      <c r="AB80" s="70">
        <v>0</v>
      </c>
      <c r="AC80" s="70">
        <v>0</v>
      </c>
      <c r="AD80" s="70">
        <v>75000</v>
      </c>
    </row>
    <row r="81" spans="1:30" s="118" customFormat="1" ht="113.25" customHeight="1" x14ac:dyDescent="0.3">
      <c r="A81" s="1081"/>
      <c r="B81" s="763" t="s">
        <v>2</v>
      </c>
      <c r="C81" s="243" t="s">
        <v>389</v>
      </c>
      <c r="D81" s="202">
        <v>106000</v>
      </c>
      <c r="E81" s="202">
        <v>0</v>
      </c>
      <c r="F81" s="74">
        <v>106000</v>
      </c>
      <c r="G81" s="73">
        <v>0</v>
      </c>
      <c r="H81" s="73">
        <v>0</v>
      </c>
      <c r="I81" s="73">
        <v>0</v>
      </c>
      <c r="J81" s="73">
        <v>0</v>
      </c>
      <c r="K81" s="73">
        <v>0</v>
      </c>
      <c r="L81" s="73">
        <v>0</v>
      </c>
      <c r="M81" s="73">
        <v>40000</v>
      </c>
      <c r="N81" s="73">
        <v>0</v>
      </c>
      <c r="O81" s="73">
        <v>66000</v>
      </c>
      <c r="P81" s="73">
        <v>0</v>
      </c>
      <c r="Q81" s="73">
        <v>0</v>
      </c>
      <c r="R81" s="251">
        <v>106000</v>
      </c>
      <c r="S81" s="73">
        <v>0</v>
      </c>
      <c r="T81" s="73">
        <v>0</v>
      </c>
      <c r="U81" s="73">
        <v>0</v>
      </c>
      <c r="V81" s="73">
        <v>0</v>
      </c>
      <c r="W81" s="73">
        <v>0</v>
      </c>
      <c r="X81" s="73">
        <v>0</v>
      </c>
      <c r="Y81" s="73">
        <v>0</v>
      </c>
      <c r="Z81" s="73">
        <v>0</v>
      </c>
      <c r="AA81" s="73">
        <v>0</v>
      </c>
      <c r="AB81" s="73">
        <v>0</v>
      </c>
      <c r="AC81" s="73">
        <v>0</v>
      </c>
      <c r="AD81" s="82">
        <v>0</v>
      </c>
    </row>
    <row r="82" spans="1:30" s="118" customFormat="1" ht="113.25" customHeight="1" x14ac:dyDescent="0.3">
      <c r="A82" s="1082"/>
      <c r="B82" s="763" t="s">
        <v>3</v>
      </c>
      <c r="C82" s="243" t="s">
        <v>390</v>
      </c>
      <c r="D82" s="202">
        <v>0</v>
      </c>
      <c r="E82" s="202">
        <v>75000</v>
      </c>
      <c r="F82" s="74">
        <v>75000</v>
      </c>
      <c r="G82" s="73">
        <v>0</v>
      </c>
      <c r="H82" s="73">
        <v>0</v>
      </c>
      <c r="I82" s="73">
        <v>0</v>
      </c>
      <c r="J82" s="73">
        <v>0</v>
      </c>
      <c r="K82" s="73">
        <v>0</v>
      </c>
      <c r="L82" s="73">
        <v>0</v>
      </c>
      <c r="M82" s="73">
        <v>0</v>
      </c>
      <c r="N82" s="73">
        <v>0</v>
      </c>
      <c r="O82" s="73">
        <v>0</v>
      </c>
      <c r="P82" s="73">
        <v>0</v>
      </c>
      <c r="Q82" s="73">
        <v>0</v>
      </c>
      <c r="R82" s="616">
        <v>0</v>
      </c>
      <c r="S82" s="73">
        <v>0</v>
      </c>
      <c r="T82" s="73">
        <v>75000</v>
      </c>
      <c r="U82" s="73">
        <v>0</v>
      </c>
      <c r="V82" s="73">
        <v>0</v>
      </c>
      <c r="W82" s="73">
        <v>0</v>
      </c>
      <c r="X82" s="73">
        <v>0</v>
      </c>
      <c r="Y82" s="73">
        <v>0</v>
      </c>
      <c r="Z82" s="73">
        <v>0</v>
      </c>
      <c r="AA82" s="73">
        <v>0</v>
      </c>
      <c r="AB82" s="73">
        <v>0</v>
      </c>
      <c r="AC82" s="73">
        <v>0</v>
      </c>
      <c r="AD82" s="620">
        <v>75000</v>
      </c>
    </row>
    <row r="83" spans="1:30" s="67" customFormat="1" ht="42.75" customHeight="1" x14ac:dyDescent="0.3">
      <c r="A83" s="238" t="s">
        <v>824</v>
      </c>
      <c r="B83" s="239"/>
      <c r="C83" s="777"/>
      <c r="D83" s="777"/>
      <c r="E83" s="777"/>
      <c r="F83" s="778"/>
      <c r="G83" s="222"/>
      <c r="H83" s="222"/>
      <c r="I83" s="222"/>
      <c r="J83" s="222"/>
      <c r="K83" s="222"/>
      <c r="L83" s="222"/>
      <c r="M83" s="222"/>
      <c r="N83" s="222"/>
      <c r="O83" s="222"/>
      <c r="P83" s="222"/>
      <c r="Q83" s="222"/>
      <c r="R83" s="248">
        <v>0</v>
      </c>
      <c r="S83" s="222"/>
      <c r="T83" s="222"/>
      <c r="U83" s="222"/>
      <c r="V83" s="222"/>
      <c r="W83" s="222"/>
      <c r="X83" s="222"/>
      <c r="Y83" s="222"/>
      <c r="Z83" s="222"/>
      <c r="AA83" s="222"/>
      <c r="AB83" s="222"/>
      <c r="AC83" s="222"/>
      <c r="AD83" s="236">
        <v>0</v>
      </c>
    </row>
    <row r="84" spans="1:30" ht="22.5" customHeight="1" x14ac:dyDescent="0.3">
      <c r="A84" s="1114" t="s">
        <v>112</v>
      </c>
      <c r="B84" s="40"/>
      <c r="C84" s="108"/>
      <c r="D84" s="70">
        <v>363330</v>
      </c>
      <c r="E84" s="70">
        <v>342700</v>
      </c>
      <c r="F84" s="70">
        <v>706030</v>
      </c>
      <c r="G84" s="70">
        <v>0</v>
      </c>
      <c r="H84" s="70">
        <v>3330</v>
      </c>
      <c r="I84" s="70">
        <v>0</v>
      </c>
      <c r="J84" s="70">
        <v>1500</v>
      </c>
      <c r="K84" s="70">
        <v>0</v>
      </c>
      <c r="L84" s="70">
        <v>0</v>
      </c>
      <c r="M84" s="70">
        <v>9500</v>
      </c>
      <c r="N84" s="70">
        <v>5000</v>
      </c>
      <c r="O84" s="70">
        <v>2000</v>
      </c>
      <c r="P84" s="70">
        <v>11000</v>
      </c>
      <c r="Q84" s="70">
        <v>0</v>
      </c>
      <c r="R84" s="70">
        <v>32330</v>
      </c>
      <c r="S84" s="70">
        <v>28000</v>
      </c>
      <c r="T84" s="70">
        <v>28000</v>
      </c>
      <c r="U84" s="70">
        <v>39000</v>
      </c>
      <c r="V84" s="70">
        <v>370700</v>
      </c>
      <c r="W84" s="70">
        <v>34000</v>
      </c>
      <c r="X84" s="70">
        <v>28000</v>
      </c>
      <c r="Y84" s="70">
        <v>28000</v>
      </c>
      <c r="Z84" s="70">
        <v>34000</v>
      </c>
      <c r="AA84" s="70">
        <v>28000</v>
      </c>
      <c r="AB84" s="70">
        <v>28000</v>
      </c>
      <c r="AC84" s="70">
        <v>28000</v>
      </c>
      <c r="AD84" s="70">
        <v>673700</v>
      </c>
    </row>
    <row r="85" spans="1:30" s="118" customFormat="1" ht="114.75" customHeight="1" x14ac:dyDescent="0.3">
      <c r="A85" s="1116"/>
      <c r="B85" s="763" t="s">
        <v>2</v>
      </c>
      <c r="C85" s="243" t="s">
        <v>539</v>
      </c>
      <c r="D85" s="202">
        <v>363330</v>
      </c>
      <c r="E85" s="202">
        <v>0</v>
      </c>
      <c r="F85" s="74">
        <v>363330</v>
      </c>
      <c r="G85" s="73">
        <v>0</v>
      </c>
      <c r="H85" s="73">
        <v>3330</v>
      </c>
      <c r="I85" s="73">
        <v>0</v>
      </c>
      <c r="J85" s="73">
        <v>1500</v>
      </c>
      <c r="K85" s="73">
        <v>0</v>
      </c>
      <c r="L85" s="73">
        <v>0</v>
      </c>
      <c r="M85" s="73">
        <v>9500</v>
      </c>
      <c r="N85" s="73">
        <v>5000</v>
      </c>
      <c r="O85" s="73">
        <v>2000</v>
      </c>
      <c r="P85" s="73">
        <v>11000</v>
      </c>
      <c r="Q85" s="73">
        <v>0</v>
      </c>
      <c r="R85" s="251">
        <v>32330</v>
      </c>
      <c r="S85" s="73">
        <v>28000</v>
      </c>
      <c r="T85" s="73">
        <v>28000</v>
      </c>
      <c r="U85" s="73">
        <v>39000</v>
      </c>
      <c r="V85" s="73">
        <v>28000</v>
      </c>
      <c r="W85" s="73">
        <v>34000</v>
      </c>
      <c r="X85" s="73">
        <v>28000</v>
      </c>
      <c r="Y85" s="73">
        <v>28000</v>
      </c>
      <c r="Z85" s="73">
        <v>34000</v>
      </c>
      <c r="AA85" s="73">
        <v>28000</v>
      </c>
      <c r="AB85" s="73">
        <v>28000</v>
      </c>
      <c r="AC85" s="73">
        <v>28000</v>
      </c>
      <c r="AD85" s="82">
        <v>331000</v>
      </c>
    </row>
    <row r="86" spans="1:30" s="118" customFormat="1" ht="114.75" customHeight="1" x14ac:dyDescent="0.3">
      <c r="A86" s="1115"/>
      <c r="B86" s="763" t="s">
        <v>3</v>
      </c>
      <c r="C86" s="243" t="s">
        <v>540</v>
      </c>
      <c r="D86" s="202">
        <v>0</v>
      </c>
      <c r="E86" s="202">
        <v>342700</v>
      </c>
      <c r="F86" s="74">
        <v>342700</v>
      </c>
      <c r="G86" s="73">
        <v>0</v>
      </c>
      <c r="H86" s="73">
        <v>0</v>
      </c>
      <c r="I86" s="73">
        <v>0</v>
      </c>
      <c r="J86" s="73">
        <v>0</v>
      </c>
      <c r="K86" s="73">
        <v>0</v>
      </c>
      <c r="L86" s="73">
        <v>0</v>
      </c>
      <c r="M86" s="73">
        <v>0</v>
      </c>
      <c r="N86" s="73">
        <v>0</v>
      </c>
      <c r="O86" s="73">
        <v>0</v>
      </c>
      <c r="P86" s="73">
        <v>0</v>
      </c>
      <c r="Q86" s="73">
        <v>0</v>
      </c>
      <c r="R86" s="616">
        <v>0</v>
      </c>
      <c r="S86" s="73">
        <v>0</v>
      </c>
      <c r="T86" s="73">
        <v>0</v>
      </c>
      <c r="U86" s="73">
        <v>0</v>
      </c>
      <c r="V86" s="73">
        <v>342700</v>
      </c>
      <c r="W86" s="73">
        <v>0</v>
      </c>
      <c r="X86" s="73">
        <v>0</v>
      </c>
      <c r="Y86" s="73">
        <v>0</v>
      </c>
      <c r="Z86" s="73">
        <v>0</v>
      </c>
      <c r="AA86" s="73">
        <v>0</v>
      </c>
      <c r="AB86" s="73">
        <v>0</v>
      </c>
      <c r="AC86" s="73">
        <v>0</v>
      </c>
      <c r="AD86" s="620">
        <v>342700</v>
      </c>
    </row>
    <row r="87" spans="1:30" ht="22.5" customHeight="1" x14ac:dyDescent="0.3">
      <c r="A87" s="1088" t="s">
        <v>113</v>
      </c>
      <c r="B87" s="40"/>
      <c r="C87" s="108"/>
      <c r="D87" s="70">
        <v>109500</v>
      </c>
      <c r="E87" s="70">
        <v>134100</v>
      </c>
      <c r="F87" s="70">
        <v>243600</v>
      </c>
      <c r="G87" s="70">
        <v>0</v>
      </c>
      <c r="H87" s="70">
        <v>0</v>
      </c>
      <c r="I87" s="70">
        <v>0</v>
      </c>
      <c r="J87" s="70">
        <v>0</v>
      </c>
      <c r="K87" s="70">
        <v>0</v>
      </c>
      <c r="L87" s="70">
        <v>0</v>
      </c>
      <c r="M87" s="70">
        <v>10000</v>
      </c>
      <c r="N87" s="70">
        <v>10500</v>
      </c>
      <c r="O87" s="70">
        <v>0</v>
      </c>
      <c r="P87" s="70">
        <v>3000</v>
      </c>
      <c r="Q87" s="70">
        <v>5000</v>
      </c>
      <c r="R87" s="70">
        <v>28500</v>
      </c>
      <c r="S87" s="70">
        <v>6000</v>
      </c>
      <c r="T87" s="70">
        <v>6000</v>
      </c>
      <c r="U87" s="70">
        <v>11000</v>
      </c>
      <c r="V87" s="70">
        <v>145100</v>
      </c>
      <c r="W87" s="70">
        <v>6000</v>
      </c>
      <c r="X87" s="70">
        <v>6000</v>
      </c>
      <c r="Y87" s="70">
        <v>11000</v>
      </c>
      <c r="Z87" s="70">
        <v>6000</v>
      </c>
      <c r="AA87" s="70">
        <v>6000</v>
      </c>
      <c r="AB87" s="70">
        <v>6000</v>
      </c>
      <c r="AC87" s="70">
        <v>6000</v>
      </c>
      <c r="AD87" s="70">
        <v>215100</v>
      </c>
    </row>
    <row r="88" spans="1:30" s="118" customFormat="1" ht="118.5" customHeight="1" x14ac:dyDescent="0.3">
      <c r="A88" s="1088"/>
      <c r="B88" s="764" t="s">
        <v>2</v>
      </c>
      <c r="C88" s="64" t="s">
        <v>394</v>
      </c>
      <c r="D88" s="202">
        <v>109500</v>
      </c>
      <c r="E88" s="202">
        <v>0</v>
      </c>
      <c r="F88" s="74">
        <v>109500</v>
      </c>
      <c r="G88" s="73">
        <v>0</v>
      </c>
      <c r="H88" s="73">
        <v>0</v>
      </c>
      <c r="I88" s="73">
        <v>0</v>
      </c>
      <c r="J88" s="73">
        <v>0</v>
      </c>
      <c r="K88" s="73">
        <v>0</v>
      </c>
      <c r="L88" s="73">
        <v>0</v>
      </c>
      <c r="M88" s="73">
        <v>10000</v>
      </c>
      <c r="N88" s="73">
        <v>10500</v>
      </c>
      <c r="O88" s="73">
        <v>0</v>
      </c>
      <c r="P88" s="73">
        <v>3000</v>
      </c>
      <c r="Q88" s="73">
        <v>5000</v>
      </c>
      <c r="R88" s="251">
        <v>28500</v>
      </c>
      <c r="S88" s="73">
        <v>6000</v>
      </c>
      <c r="T88" s="73">
        <v>6000</v>
      </c>
      <c r="U88" s="73">
        <v>11000</v>
      </c>
      <c r="V88" s="73">
        <v>11000</v>
      </c>
      <c r="W88" s="73">
        <v>6000</v>
      </c>
      <c r="X88" s="73">
        <v>6000</v>
      </c>
      <c r="Y88" s="73">
        <v>11000</v>
      </c>
      <c r="Z88" s="73">
        <v>6000</v>
      </c>
      <c r="AA88" s="73">
        <v>6000</v>
      </c>
      <c r="AB88" s="73">
        <v>6000</v>
      </c>
      <c r="AC88" s="73">
        <v>6000</v>
      </c>
      <c r="AD88" s="82">
        <v>81000</v>
      </c>
    </row>
    <row r="89" spans="1:30" s="118" customFormat="1" ht="118.5" customHeight="1" x14ac:dyDescent="0.3">
      <c r="A89" s="1088"/>
      <c r="B89" s="764" t="s">
        <v>3</v>
      </c>
      <c r="C89" s="64" t="s">
        <v>393</v>
      </c>
      <c r="D89" s="202">
        <v>0</v>
      </c>
      <c r="E89" s="202">
        <v>134100</v>
      </c>
      <c r="F89" s="74">
        <v>134100</v>
      </c>
      <c r="G89" s="73">
        <v>0</v>
      </c>
      <c r="H89" s="73">
        <v>0</v>
      </c>
      <c r="I89" s="73">
        <v>0</v>
      </c>
      <c r="J89" s="73">
        <v>0</v>
      </c>
      <c r="K89" s="73">
        <v>0</v>
      </c>
      <c r="L89" s="73">
        <v>0</v>
      </c>
      <c r="M89" s="73">
        <v>0</v>
      </c>
      <c r="N89" s="73">
        <v>0</v>
      </c>
      <c r="O89" s="73">
        <v>0</v>
      </c>
      <c r="P89" s="73">
        <v>0</v>
      </c>
      <c r="Q89" s="73">
        <v>0</v>
      </c>
      <c r="R89" s="616">
        <v>0</v>
      </c>
      <c r="S89" s="73">
        <v>0</v>
      </c>
      <c r="T89" s="73">
        <v>0</v>
      </c>
      <c r="U89" s="73">
        <v>0</v>
      </c>
      <c r="V89" s="73">
        <v>134100</v>
      </c>
      <c r="W89" s="73">
        <v>0</v>
      </c>
      <c r="X89" s="73">
        <v>0</v>
      </c>
      <c r="Y89" s="73">
        <v>0</v>
      </c>
      <c r="Z89" s="73">
        <v>0</v>
      </c>
      <c r="AA89" s="73">
        <v>0</v>
      </c>
      <c r="AB89" s="73">
        <v>0</v>
      </c>
      <c r="AC89" s="73">
        <v>0</v>
      </c>
      <c r="AD89" s="82">
        <v>134100</v>
      </c>
    </row>
    <row r="90" spans="1:30" s="89" customFormat="1" ht="92.4" customHeight="1" x14ac:dyDescent="0.3">
      <c r="A90" s="1078" t="s">
        <v>825</v>
      </c>
      <c r="B90" s="1079"/>
      <c r="C90" s="1079"/>
      <c r="D90" s="208">
        <v>7649284.0800000001</v>
      </c>
      <c r="E90" s="208">
        <v>15453974.449999999</v>
      </c>
      <c r="F90" s="208">
        <v>23103258.530000001</v>
      </c>
      <c r="G90" s="208">
        <v>323585</v>
      </c>
      <c r="H90" s="208">
        <v>913336</v>
      </c>
      <c r="I90" s="208">
        <v>219146.65</v>
      </c>
      <c r="J90" s="208">
        <v>410330.92</v>
      </c>
      <c r="K90" s="208">
        <v>394600</v>
      </c>
      <c r="L90" s="208">
        <v>260500</v>
      </c>
      <c r="M90" s="208">
        <v>1090283.75</v>
      </c>
      <c r="N90" s="208">
        <v>1998960.92</v>
      </c>
      <c r="O90" s="208">
        <v>1246000</v>
      </c>
      <c r="P90" s="208">
        <v>3554213.9</v>
      </c>
      <c r="Q90" s="208">
        <v>2004299.99</v>
      </c>
      <c r="R90" s="208">
        <v>12415257.130000001</v>
      </c>
      <c r="S90" s="208">
        <v>236000</v>
      </c>
      <c r="T90" s="208">
        <v>1925225.62</v>
      </c>
      <c r="U90" s="208">
        <v>1962600</v>
      </c>
      <c r="V90" s="208">
        <v>2034458</v>
      </c>
      <c r="W90" s="208">
        <v>879150</v>
      </c>
      <c r="X90" s="208">
        <v>1742662.5</v>
      </c>
      <c r="Y90" s="208">
        <v>501786.1</v>
      </c>
      <c r="Z90" s="208">
        <v>508000</v>
      </c>
      <c r="AA90" s="208">
        <v>384119.18</v>
      </c>
      <c r="AB90" s="208">
        <v>332000</v>
      </c>
      <c r="AC90" s="208">
        <v>182000</v>
      </c>
      <c r="AD90" s="208">
        <v>10688001.4</v>
      </c>
    </row>
    <row r="91" spans="1:30" s="67" customFormat="1" ht="34.5" customHeight="1" x14ac:dyDescent="0.3">
      <c r="A91" s="320" t="s">
        <v>826</v>
      </c>
      <c r="B91" s="360"/>
      <c r="C91" s="317"/>
      <c r="D91" s="317"/>
      <c r="E91" s="317"/>
      <c r="F91" s="318"/>
      <c r="G91" s="280"/>
      <c r="H91" s="280"/>
      <c r="I91" s="280"/>
      <c r="J91" s="280"/>
      <c r="K91" s="280"/>
      <c r="L91" s="280"/>
      <c r="M91" s="280"/>
      <c r="N91" s="280"/>
      <c r="O91" s="280"/>
      <c r="P91" s="280"/>
      <c r="Q91" s="280"/>
      <c r="R91" s="57"/>
      <c r="S91" s="280"/>
      <c r="T91" s="280"/>
      <c r="U91" s="280"/>
      <c r="V91" s="280"/>
      <c r="W91" s="280"/>
      <c r="X91" s="280"/>
      <c r="Y91" s="280"/>
      <c r="Z91" s="280"/>
      <c r="AA91" s="280"/>
      <c r="AB91" s="280"/>
      <c r="AC91" s="280"/>
      <c r="AD91" s="57"/>
    </row>
    <row r="92" spans="1:30" s="67" customFormat="1" ht="37.5" customHeight="1" x14ac:dyDescent="0.3">
      <c r="A92" s="282" t="s">
        <v>827</v>
      </c>
      <c r="B92" s="361"/>
      <c r="C92" s="284"/>
      <c r="D92" s="283"/>
      <c r="E92" s="283"/>
      <c r="F92" s="285"/>
      <c r="G92" s="222"/>
      <c r="H92" s="222"/>
      <c r="I92" s="222"/>
      <c r="J92" s="222"/>
      <c r="K92" s="222"/>
      <c r="L92" s="222"/>
      <c r="M92" s="222"/>
      <c r="N92" s="222"/>
      <c r="O92" s="222"/>
      <c r="P92" s="222"/>
      <c r="Q92" s="222"/>
      <c r="R92" s="222"/>
      <c r="S92" s="222"/>
      <c r="T92" s="222"/>
      <c r="U92" s="222"/>
      <c r="V92" s="222"/>
      <c r="W92" s="222"/>
      <c r="X92" s="222"/>
      <c r="Y92" s="222"/>
      <c r="Z92" s="222"/>
      <c r="AA92" s="222"/>
      <c r="AB92" s="222"/>
      <c r="AC92" s="222"/>
      <c r="AD92" s="222"/>
    </row>
    <row r="93" spans="1:30" ht="32.25" customHeight="1" x14ac:dyDescent="0.3">
      <c r="A93" s="1075" t="s">
        <v>785</v>
      </c>
      <c r="B93" s="266"/>
      <c r="C93" s="272"/>
      <c r="D93" s="267">
        <v>2928780</v>
      </c>
      <c r="E93" s="267">
        <v>5132813.53</v>
      </c>
      <c r="F93" s="267">
        <v>8061593.5300000003</v>
      </c>
      <c r="G93" s="267">
        <v>22000</v>
      </c>
      <c r="H93" s="267">
        <v>22000</v>
      </c>
      <c r="I93" s="267">
        <v>22000</v>
      </c>
      <c r="J93" s="267">
        <v>137000</v>
      </c>
      <c r="K93" s="267">
        <v>163000</v>
      </c>
      <c r="L93" s="267">
        <v>64000</v>
      </c>
      <c r="M93" s="267">
        <v>219330</v>
      </c>
      <c r="N93" s="267">
        <v>351000</v>
      </c>
      <c r="O93" s="267">
        <v>731000</v>
      </c>
      <c r="P93" s="267">
        <v>1401363.9</v>
      </c>
      <c r="Q93" s="267">
        <v>1277000</v>
      </c>
      <c r="R93" s="267">
        <v>4409693.9000000004</v>
      </c>
      <c r="S93" s="267">
        <v>90000</v>
      </c>
      <c r="T93" s="267">
        <v>760813.53</v>
      </c>
      <c r="U93" s="267">
        <v>1146150</v>
      </c>
      <c r="V93" s="267">
        <v>480000</v>
      </c>
      <c r="W93" s="267">
        <v>319150</v>
      </c>
      <c r="X93" s="267">
        <v>205000</v>
      </c>
      <c r="Y93" s="267">
        <v>202786.1</v>
      </c>
      <c r="Z93" s="267">
        <v>127000</v>
      </c>
      <c r="AA93" s="267">
        <v>115000</v>
      </c>
      <c r="AB93" s="267">
        <v>115000</v>
      </c>
      <c r="AC93" s="267">
        <v>91000</v>
      </c>
      <c r="AD93" s="267">
        <v>3651899.63</v>
      </c>
    </row>
    <row r="94" spans="1:30" s="315" customFormat="1" ht="37.5" customHeight="1" x14ac:dyDescent="0.3">
      <c r="A94" s="1076"/>
      <c r="B94" s="766" t="s">
        <v>2</v>
      </c>
      <c r="C94" s="232" t="s">
        <v>223</v>
      </c>
      <c r="D94" s="72">
        <v>887000</v>
      </c>
      <c r="E94" s="72"/>
      <c r="F94" s="236">
        <v>887000</v>
      </c>
      <c r="G94" s="66">
        <v>22000</v>
      </c>
      <c r="H94" s="66">
        <v>22000</v>
      </c>
      <c r="I94" s="66">
        <v>22000</v>
      </c>
      <c r="J94" s="66">
        <v>37000</v>
      </c>
      <c r="K94" s="66">
        <v>48000</v>
      </c>
      <c r="L94" s="66">
        <v>49000</v>
      </c>
      <c r="M94" s="66">
        <v>48000</v>
      </c>
      <c r="N94" s="66">
        <v>119000</v>
      </c>
      <c r="O94" s="66">
        <v>119000</v>
      </c>
      <c r="P94" s="66">
        <v>119000</v>
      </c>
      <c r="Q94" s="66">
        <v>115000</v>
      </c>
      <c r="R94" s="236">
        <v>720000</v>
      </c>
      <c r="S94" s="66">
        <v>0</v>
      </c>
      <c r="T94" s="66">
        <v>3000</v>
      </c>
      <c r="U94" s="66">
        <v>3000</v>
      </c>
      <c r="V94" s="66">
        <v>3000</v>
      </c>
      <c r="W94" s="66">
        <v>3000</v>
      </c>
      <c r="X94" s="66">
        <v>28000</v>
      </c>
      <c r="Y94" s="66">
        <v>27000</v>
      </c>
      <c r="Z94" s="66">
        <v>25000</v>
      </c>
      <c r="AA94" s="66">
        <v>25000</v>
      </c>
      <c r="AB94" s="66">
        <v>25000</v>
      </c>
      <c r="AC94" s="66">
        <v>25000</v>
      </c>
      <c r="AD94" s="236">
        <v>167000</v>
      </c>
    </row>
    <row r="95" spans="1:30" s="315" customFormat="1" ht="105.75" customHeight="1" x14ac:dyDescent="0.3">
      <c r="A95" s="1076"/>
      <c r="B95" s="766" t="s">
        <v>3</v>
      </c>
      <c r="C95" s="359" t="s">
        <v>496</v>
      </c>
      <c r="D95" s="72">
        <v>865000</v>
      </c>
      <c r="E95" s="72"/>
      <c r="F95" s="236">
        <v>865000</v>
      </c>
      <c r="G95" s="66">
        <v>0</v>
      </c>
      <c r="H95" s="66">
        <v>0</v>
      </c>
      <c r="I95" s="66">
        <v>0</v>
      </c>
      <c r="J95" s="66">
        <v>0</v>
      </c>
      <c r="K95" s="66">
        <v>0</v>
      </c>
      <c r="L95" s="66">
        <v>0</v>
      </c>
      <c r="M95" s="66">
        <v>97000</v>
      </c>
      <c r="N95" s="66">
        <v>12000</v>
      </c>
      <c r="O95" s="66">
        <v>12000</v>
      </c>
      <c r="P95" s="66">
        <v>72000</v>
      </c>
      <c r="Q95" s="66">
        <v>12000</v>
      </c>
      <c r="R95" s="236">
        <v>205000</v>
      </c>
      <c r="S95" s="66">
        <v>90000</v>
      </c>
      <c r="T95" s="66">
        <v>150000</v>
      </c>
      <c r="U95" s="66">
        <v>90000</v>
      </c>
      <c r="V95" s="66">
        <v>102000</v>
      </c>
      <c r="W95" s="66">
        <v>102000</v>
      </c>
      <c r="X95" s="66">
        <v>102000</v>
      </c>
      <c r="Y95" s="66">
        <v>12000</v>
      </c>
      <c r="Z95" s="66">
        <v>12000</v>
      </c>
      <c r="AA95" s="66">
        <v>0</v>
      </c>
      <c r="AB95" s="66">
        <v>0</v>
      </c>
      <c r="AC95" s="66">
        <v>0</v>
      </c>
      <c r="AD95" s="236">
        <v>660000</v>
      </c>
    </row>
    <row r="96" spans="1:30" s="315" customFormat="1" ht="114" customHeight="1" x14ac:dyDescent="0.3">
      <c r="A96" s="1076"/>
      <c r="B96" s="765" t="s">
        <v>4</v>
      </c>
      <c r="C96" s="319" t="s">
        <v>495</v>
      </c>
      <c r="D96" s="72"/>
      <c r="E96" s="72">
        <v>3051000</v>
      </c>
      <c r="F96" s="236">
        <v>3051000</v>
      </c>
      <c r="G96" s="66">
        <v>0</v>
      </c>
      <c r="H96" s="66">
        <v>0</v>
      </c>
      <c r="I96" s="66">
        <v>0</v>
      </c>
      <c r="J96" s="66">
        <v>0</v>
      </c>
      <c r="K96" s="66">
        <v>0</v>
      </c>
      <c r="L96" s="66">
        <v>0</v>
      </c>
      <c r="M96" s="66">
        <v>0</v>
      </c>
      <c r="N96" s="66">
        <v>0</v>
      </c>
      <c r="O96" s="66">
        <v>500000</v>
      </c>
      <c r="P96" s="66">
        <v>900000</v>
      </c>
      <c r="Q96" s="66">
        <v>900000</v>
      </c>
      <c r="R96" s="618">
        <v>2300000</v>
      </c>
      <c r="S96" s="66">
        <v>0</v>
      </c>
      <c r="T96" s="66">
        <v>351000</v>
      </c>
      <c r="U96" s="66">
        <v>400000</v>
      </c>
      <c r="V96" s="66">
        <v>0</v>
      </c>
      <c r="W96" s="66">
        <v>0</v>
      </c>
      <c r="X96" s="66">
        <v>0</v>
      </c>
      <c r="Y96" s="66">
        <v>0</v>
      </c>
      <c r="Z96" s="66">
        <v>0</v>
      </c>
      <c r="AA96" s="66">
        <v>0</v>
      </c>
      <c r="AB96" s="66">
        <v>0</v>
      </c>
      <c r="AC96" s="66">
        <v>0</v>
      </c>
      <c r="AD96" s="618">
        <v>751000</v>
      </c>
    </row>
    <row r="97" spans="1:30" s="315" customFormat="1" ht="123" customHeight="1" x14ac:dyDescent="0.3">
      <c r="A97" s="1076"/>
      <c r="B97" s="765" t="s">
        <v>8</v>
      </c>
      <c r="C97" s="428" t="s">
        <v>395</v>
      </c>
      <c r="D97" s="72">
        <v>280000</v>
      </c>
      <c r="E97" s="72"/>
      <c r="F97" s="236">
        <v>280000</v>
      </c>
      <c r="G97" s="66">
        <v>0</v>
      </c>
      <c r="H97" s="66">
        <v>0</v>
      </c>
      <c r="I97" s="66">
        <v>0</v>
      </c>
      <c r="J97" s="66">
        <v>0</v>
      </c>
      <c r="K97" s="66">
        <v>0</v>
      </c>
      <c r="L97" s="66">
        <v>0</v>
      </c>
      <c r="M97" s="66">
        <v>0</v>
      </c>
      <c r="N97" s="66">
        <v>30000</v>
      </c>
      <c r="O97" s="66">
        <v>0</v>
      </c>
      <c r="P97" s="66">
        <v>140363.9</v>
      </c>
      <c r="Q97" s="66">
        <v>0</v>
      </c>
      <c r="R97" s="236">
        <v>170363.9</v>
      </c>
      <c r="S97" s="66">
        <v>0</v>
      </c>
      <c r="T97" s="66">
        <v>0</v>
      </c>
      <c r="U97" s="66">
        <v>25000</v>
      </c>
      <c r="V97" s="66">
        <v>25000</v>
      </c>
      <c r="W97" s="66">
        <v>25000</v>
      </c>
      <c r="X97" s="66">
        <v>25000</v>
      </c>
      <c r="Y97" s="66">
        <v>9636.1</v>
      </c>
      <c r="Z97" s="66">
        <v>0</v>
      </c>
      <c r="AA97" s="66">
        <v>0</v>
      </c>
      <c r="AB97" s="66">
        <v>0</v>
      </c>
      <c r="AC97" s="66">
        <v>0</v>
      </c>
      <c r="AD97" s="236">
        <v>109636.1</v>
      </c>
    </row>
    <row r="98" spans="1:30" s="315" customFormat="1" ht="82.95" customHeight="1" x14ac:dyDescent="0.3">
      <c r="A98" s="1076"/>
      <c r="B98" s="765" t="s">
        <v>9</v>
      </c>
      <c r="C98" s="428" t="s">
        <v>230</v>
      </c>
      <c r="D98" s="72"/>
      <c r="E98" s="72">
        <v>170000</v>
      </c>
      <c r="F98" s="236">
        <v>170000</v>
      </c>
      <c r="G98" s="66">
        <v>0</v>
      </c>
      <c r="H98" s="66">
        <v>0</v>
      </c>
      <c r="I98" s="66">
        <v>0</v>
      </c>
      <c r="J98" s="66">
        <v>0</v>
      </c>
      <c r="K98" s="66">
        <v>0</v>
      </c>
      <c r="L98" s="66">
        <v>0</v>
      </c>
      <c r="M98" s="66">
        <v>0</v>
      </c>
      <c r="N98" s="66">
        <v>0</v>
      </c>
      <c r="O98" s="66">
        <v>0</v>
      </c>
      <c r="P98" s="66">
        <v>170000</v>
      </c>
      <c r="Q98" s="66">
        <v>0</v>
      </c>
      <c r="R98" s="618">
        <v>170000</v>
      </c>
      <c r="S98" s="66">
        <v>0</v>
      </c>
      <c r="T98" s="66">
        <v>0</v>
      </c>
      <c r="U98" s="66">
        <v>0</v>
      </c>
      <c r="V98" s="66">
        <v>0</v>
      </c>
      <c r="W98" s="66">
        <v>0</v>
      </c>
      <c r="X98" s="66">
        <v>0</v>
      </c>
      <c r="Y98" s="66">
        <v>0</v>
      </c>
      <c r="Z98" s="66">
        <v>0</v>
      </c>
      <c r="AA98" s="66">
        <v>0</v>
      </c>
      <c r="AB98" s="66">
        <v>0</v>
      </c>
      <c r="AC98" s="66">
        <v>0</v>
      </c>
      <c r="AD98" s="618">
        <v>0</v>
      </c>
    </row>
    <row r="99" spans="1:30" s="315" customFormat="1" ht="109.5" customHeight="1" x14ac:dyDescent="0.3">
      <c r="A99" s="1076"/>
      <c r="B99" s="765" t="s">
        <v>10</v>
      </c>
      <c r="C99" s="319" t="s">
        <v>396</v>
      </c>
      <c r="D99" s="72">
        <v>100000</v>
      </c>
      <c r="E99" s="72"/>
      <c r="F99" s="236">
        <v>100000</v>
      </c>
      <c r="G99" s="66">
        <v>0</v>
      </c>
      <c r="H99" s="66">
        <v>0</v>
      </c>
      <c r="I99" s="66">
        <v>0</v>
      </c>
      <c r="J99" s="66">
        <v>0</v>
      </c>
      <c r="K99" s="66">
        <v>100000</v>
      </c>
      <c r="L99" s="66">
        <v>0</v>
      </c>
      <c r="M99" s="66">
        <v>0</v>
      </c>
      <c r="N99" s="66">
        <v>0</v>
      </c>
      <c r="O99" s="66">
        <v>0</v>
      </c>
      <c r="P99" s="66">
        <v>0</v>
      </c>
      <c r="Q99" s="66">
        <v>0</v>
      </c>
      <c r="R99" s="236">
        <v>100000</v>
      </c>
      <c r="S99" s="66">
        <v>0</v>
      </c>
      <c r="T99" s="66">
        <v>0</v>
      </c>
      <c r="U99" s="66">
        <v>0</v>
      </c>
      <c r="V99" s="66">
        <v>0</v>
      </c>
      <c r="W99" s="66">
        <v>0</v>
      </c>
      <c r="X99" s="66">
        <v>0</v>
      </c>
      <c r="Y99" s="66">
        <v>0</v>
      </c>
      <c r="Z99" s="66">
        <v>0</v>
      </c>
      <c r="AA99" s="66">
        <v>0</v>
      </c>
      <c r="AB99" s="66">
        <v>0</v>
      </c>
      <c r="AC99" s="66">
        <v>0</v>
      </c>
      <c r="AD99" s="236">
        <v>0</v>
      </c>
    </row>
    <row r="100" spans="1:30" s="315" customFormat="1" ht="114" customHeight="1" x14ac:dyDescent="0.3">
      <c r="A100" s="1076"/>
      <c r="B100" s="765" t="s">
        <v>67</v>
      </c>
      <c r="C100" s="245" t="s">
        <v>397</v>
      </c>
      <c r="D100" s="72"/>
      <c r="E100" s="72">
        <v>1255000</v>
      </c>
      <c r="F100" s="236">
        <v>1255000</v>
      </c>
      <c r="G100" s="66">
        <v>0</v>
      </c>
      <c r="H100" s="66">
        <v>0</v>
      </c>
      <c r="I100" s="66">
        <v>0</v>
      </c>
      <c r="J100" s="66">
        <v>0</v>
      </c>
      <c r="K100" s="66">
        <v>0</v>
      </c>
      <c r="L100" s="66">
        <v>0</v>
      </c>
      <c r="M100" s="66">
        <v>0</v>
      </c>
      <c r="N100" s="66">
        <v>0</v>
      </c>
      <c r="O100" s="66">
        <v>100000</v>
      </c>
      <c r="P100" s="66">
        <v>0</v>
      </c>
      <c r="Q100" s="66">
        <v>250000</v>
      </c>
      <c r="R100" s="618">
        <v>350000</v>
      </c>
      <c r="S100" s="66">
        <v>0</v>
      </c>
      <c r="T100" s="66">
        <v>0</v>
      </c>
      <c r="U100" s="66">
        <v>555000</v>
      </c>
      <c r="V100" s="66">
        <v>350000</v>
      </c>
      <c r="W100" s="66">
        <v>0</v>
      </c>
      <c r="X100" s="66">
        <v>0</v>
      </c>
      <c r="Y100" s="66">
        <v>0</v>
      </c>
      <c r="Z100" s="66">
        <v>0</v>
      </c>
      <c r="AA100" s="66">
        <v>0</v>
      </c>
      <c r="AB100" s="66">
        <v>0</v>
      </c>
      <c r="AC100" s="66">
        <v>0</v>
      </c>
      <c r="AD100" s="618">
        <v>905000</v>
      </c>
    </row>
    <row r="101" spans="1:30" s="315" customFormat="1" ht="74.400000000000006" customHeight="1" x14ac:dyDescent="0.3">
      <c r="A101" s="1076"/>
      <c r="B101" s="765" t="s">
        <v>68</v>
      </c>
      <c r="C101" s="245" t="s">
        <v>548</v>
      </c>
      <c r="D101" s="72">
        <v>796780</v>
      </c>
      <c r="E101" s="72"/>
      <c r="F101" s="236">
        <v>796780</v>
      </c>
      <c r="G101" s="66">
        <v>0</v>
      </c>
      <c r="H101" s="66">
        <v>0</v>
      </c>
      <c r="I101" s="66">
        <v>0</v>
      </c>
      <c r="J101" s="66">
        <v>65000</v>
      </c>
      <c r="K101" s="66">
        <v>15000</v>
      </c>
      <c r="L101" s="66">
        <v>15000</v>
      </c>
      <c r="M101" s="66">
        <v>74330</v>
      </c>
      <c r="N101" s="66">
        <v>0</v>
      </c>
      <c r="O101" s="66">
        <v>0</v>
      </c>
      <c r="P101" s="66">
        <v>0</v>
      </c>
      <c r="Q101" s="66">
        <v>0</v>
      </c>
      <c r="R101" s="236">
        <v>169330</v>
      </c>
      <c r="S101" s="66">
        <v>0</v>
      </c>
      <c r="T101" s="66">
        <v>0</v>
      </c>
      <c r="U101" s="66">
        <v>73150</v>
      </c>
      <c r="V101" s="66">
        <v>0</v>
      </c>
      <c r="W101" s="66">
        <v>64150</v>
      </c>
      <c r="X101" s="66">
        <v>0</v>
      </c>
      <c r="Y101" s="66">
        <v>154150</v>
      </c>
      <c r="Z101" s="66">
        <v>90000</v>
      </c>
      <c r="AA101" s="66">
        <v>90000</v>
      </c>
      <c r="AB101" s="66">
        <v>90000</v>
      </c>
      <c r="AC101" s="66">
        <v>66000</v>
      </c>
      <c r="AD101" s="236">
        <v>627450</v>
      </c>
    </row>
    <row r="102" spans="1:30" s="315" customFormat="1" ht="118.2" customHeight="1" x14ac:dyDescent="0.3">
      <c r="A102" s="1077"/>
      <c r="B102" s="775" t="s">
        <v>69</v>
      </c>
      <c r="C102" s="274" t="s">
        <v>773</v>
      </c>
      <c r="D102" s="72"/>
      <c r="E102" s="72">
        <v>656813.53</v>
      </c>
      <c r="F102" s="236">
        <v>656813.53</v>
      </c>
      <c r="G102" s="66">
        <v>0</v>
      </c>
      <c r="H102" s="66">
        <v>0</v>
      </c>
      <c r="I102" s="66">
        <v>0</v>
      </c>
      <c r="J102" s="66">
        <v>35000</v>
      </c>
      <c r="K102" s="66">
        <v>0</v>
      </c>
      <c r="L102" s="66">
        <v>0</v>
      </c>
      <c r="M102" s="66">
        <v>0</v>
      </c>
      <c r="N102" s="66">
        <v>190000</v>
      </c>
      <c r="O102" s="66">
        <v>0</v>
      </c>
      <c r="P102" s="66">
        <v>0</v>
      </c>
      <c r="Q102" s="66">
        <v>0</v>
      </c>
      <c r="R102" s="618">
        <v>225000</v>
      </c>
      <c r="S102" s="66">
        <v>0</v>
      </c>
      <c r="T102" s="66">
        <v>256813.53</v>
      </c>
      <c r="U102" s="66">
        <v>0</v>
      </c>
      <c r="V102" s="66">
        <v>0</v>
      </c>
      <c r="W102" s="66">
        <v>125000</v>
      </c>
      <c r="X102" s="66">
        <v>50000</v>
      </c>
      <c r="Y102" s="66">
        <v>0</v>
      </c>
      <c r="Z102" s="66">
        <v>0</v>
      </c>
      <c r="AA102" s="66">
        <v>0</v>
      </c>
      <c r="AB102" s="66">
        <v>0</v>
      </c>
      <c r="AC102" s="66">
        <v>0</v>
      </c>
      <c r="AD102" s="618">
        <v>431813.53</v>
      </c>
    </row>
    <row r="103" spans="1:30" s="67" customFormat="1" ht="28.5" customHeight="1" x14ac:dyDescent="0.3">
      <c r="A103" s="282" t="s">
        <v>828</v>
      </c>
      <c r="B103" s="361"/>
      <c r="C103" s="284"/>
      <c r="D103" s="283"/>
      <c r="E103" s="283"/>
      <c r="F103" s="285"/>
      <c r="G103" s="222"/>
      <c r="H103" s="222"/>
      <c r="I103" s="222"/>
      <c r="J103" s="222"/>
      <c r="K103" s="222"/>
      <c r="L103" s="222"/>
      <c r="M103" s="222"/>
      <c r="N103" s="222"/>
      <c r="O103" s="222"/>
      <c r="P103" s="222"/>
      <c r="Q103" s="222"/>
      <c r="R103" s="222"/>
      <c r="S103" s="222"/>
      <c r="T103" s="222"/>
      <c r="U103" s="222"/>
      <c r="V103" s="222"/>
      <c r="W103" s="222"/>
      <c r="X103" s="222"/>
      <c r="Y103" s="222"/>
      <c r="Z103" s="222"/>
      <c r="AA103" s="222"/>
      <c r="AB103" s="222"/>
      <c r="AC103" s="222"/>
      <c r="AD103" s="222"/>
    </row>
    <row r="104" spans="1:30" ht="30" customHeight="1" x14ac:dyDescent="0.3">
      <c r="A104" s="1075" t="s">
        <v>786</v>
      </c>
      <c r="B104" s="266"/>
      <c r="C104" s="272"/>
      <c r="D104" s="267">
        <v>2470908.6</v>
      </c>
      <c r="E104" s="267">
        <v>355000</v>
      </c>
      <c r="F104" s="267">
        <v>2825908.6</v>
      </c>
      <c r="G104" s="267">
        <v>22000</v>
      </c>
      <c r="H104" s="267">
        <v>22000</v>
      </c>
      <c r="I104" s="267">
        <v>22000</v>
      </c>
      <c r="J104" s="267">
        <v>51150</v>
      </c>
      <c r="K104" s="267">
        <v>120000</v>
      </c>
      <c r="L104" s="267">
        <v>196500</v>
      </c>
      <c r="M104" s="267">
        <v>148000</v>
      </c>
      <c r="N104" s="267">
        <v>340000</v>
      </c>
      <c r="O104" s="267">
        <v>85000</v>
      </c>
      <c r="P104" s="267">
        <v>335000</v>
      </c>
      <c r="Q104" s="267">
        <v>81000</v>
      </c>
      <c r="R104" s="267">
        <v>1422650</v>
      </c>
      <c r="S104" s="267">
        <v>56000</v>
      </c>
      <c r="T104" s="267">
        <v>147500</v>
      </c>
      <c r="U104" s="267">
        <v>341450</v>
      </c>
      <c r="V104" s="267">
        <v>225458</v>
      </c>
      <c r="W104" s="267">
        <v>59000</v>
      </c>
      <c r="X104" s="267">
        <v>165850.6</v>
      </c>
      <c r="Y104" s="267">
        <v>84000</v>
      </c>
      <c r="Z104" s="267">
        <v>81000</v>
      </c>
      <c r="AA104" s="267">
        <v>81000</v>
      </c>
      <c r="AB104" s="267">
        <v>81000</v>
      </c>
      <c r="AC104" s="267">
        <v>81000</v>
      </c>
      <c r="AD104" s="267">
        <v>1403258.6</v>
      </c>
    </row>
    <row r="105" spans="1:30" s="315" customFormat="1" ht="34.950000000000003" customHeight="1" x14ac:dyDescent="0.3">
      <c r="A105" s="1076"/>
      <c r="B105" s="766" t="s">
        <v>2</v>
      </c>
      <c r="C105" s="232" t="s">
        <v>244</v>
      </c>
      <c r="D105" s="72">
        <v>751000</v>
      </c>
      <c r="E105" s="72"/>
      <c r="F105" s="236">
        <v>751000</v>
      </c>
      <c r="G105" s="66">
        <v>22000</v>
      </c>
      <c r="H105" s="66">
        <v>22000</v>
      </c>
      <c r="I105" s="66">
        <v>22000</v>
      </c>
      <c r="J105" s="66">
        <v>37000</v>
      </c>
      <c r="K105" s="66">
        <v>48000</v>
      </c>
      <c r="L105" s="66">
        <v>48000</v>
      </c>
      <c r="M105" s="66">
        <v>48000</v>
      </c>
      <c r="N105" s="66">
        <v>85000</v>
      </c>
      <c r="O105" s="66">
        <v>85000</v>
      </c>
      <c r="P105" s="66">
        <v>85000</v>
      </c>
      <c r="Q105" s="66">
        <v>81000</v>
      </c>
      <c r="R105" s="236">
        <v>583000</v>
      </c>
      <c r="S105" s="66">
        <v>0</v>
      </c>
      <c r="T105" s="66">
        <v>3000</v>
      </c>
      <c r="U105" s="66">
        <v>3000</v>
      </c>
      <c r="V105" s="66">
        <v>3000</v>
      </c>
      <c r="W105" s="66">
        <v>3000</v>
      </c>
      <c r="X105" s="66">
        <v>28000</v>
      </c>
      <c r="Y105" s="66">
        <v>28000</v>
      </c>
      <c r="Z105" s="66">
        <v>25000</v>
      </c>
      <c r="AA105" s="66">
        <v>25000</v>
      </c>
      <c r="AB105" s="66">
        <v>25000</v>
      </c>
      <c r="AC105" s="66">
        <v>25000</v>
      </c>
      <c r="AD105" s="236">
        <v>168000</v>
      </c>
    </row>
    <row r="106" spans="1:30" s="315" customFormat="1" ht="132.75" customHeight="1" x14ac:dyDescent="0.3">
      <c r="A106" s="1076"/>
      <c r="B106" s="767" t="s">
        <v>3</v>
      </c>
      <c r="C106" s="232" t="s">
        <v>399</v>
      </c>
      <c r="D106" s="72"/>
      <c r="E106" s="72">
        <v>155000</v>
      </c>
      <c r="F106" s="236">
        <v>155000</v>
      </c>
      <c r="G106" s="66">
        <v>0</v>
      </c>
      <c r="H106" s="66">
        <v>0</v>
      </c>
      <c r="I106" s="66">
        <v>0</v>
      </c>
      <c r="J106" s="66">
        <v>0</v>
      </c>
      <c r="K106" s="66">
        <v>0</v>
      </c>
      <c r="L106" s="66">
        <v>0</v>
      </c>
      <c r="M106" s="66">
        <v>0</v>
      </c>
      <c r="N106" s="66">
        <v>155000</v>
      </c>
      <c r="O106" s="66">
        <v>0</v>
      </c>
      <c r="P106" s="66">
        <v>0</v>
      </c>
      <c r="Q106" s="66">
        <v>0</v>
      </c>
      <c r="R106" s="618">
        <v>155000</v>
      </c>
      <c r="S106" s="66">
        <v>0</v>
      </c>
      <c r="T106" s="66">
        <v>0</v>
      </c>
      <c r="U106" s="66">
        <v>0</v>
      </c>
      <c r="V106" s="66">
        <v>0</v>
      </c>
      <c r="W106" s="66">
        <v>0</v>
      </c>
      <c r="X106" s="66">
        <v>0</v>
      </c>
      <c r="Y106" s="66">
        <v>0</v>
      </c>
      <c r="Z106" s="66">
        <v>0</v>
      </c>
      <c r="AA106" s="66">
        <v>0</v>
      </c>
      <c r="AB106" s="66">
        <v>0</v>
      </c>
      <c r="AC106" s="66">
        <v>0</v>
      </c>
      <c r="AD106" s="618">
        <v>0</v>
      </c>
    </row>
    <row r="107" spans="1:30" s="315" customFormat="1" ht="127.5" customHeight="1" x14ac:dyDescent="0.3">
      <c r="A107" s="1076"/>
      <c r="B107" s="767" t="s">
        <v>4</v>
      </c>
      <c r="C107" s="232" t="s">
        <v>552</v>
      </c>
      <c r="D107" s="72">
        <v>645000</v>
      </c>
      <c r="E107" s="72"/>
      <c r="F107" s="236">
        <v>645000</v>
      </c>
      <c r="G107" s="66">
        <v>0</v>
      </c>
      <c r="H107" s="66">
        <v>0</v>
      </c>
      <c r="I107" s="66">
        <v>0</v>
      </c>
      <c r="J107" s="66">
        <v>0</v>
      </c>
      <c r="K107" s="66">
        <v>72000</v>
      </c>
      <c r="L107" s="66">
        <v>148500</v>
      </c>
      <c r="M107" s="66">
        <v>0</v>
      </c>
      <c r="N107" s="66">
        <v>0</v>
      </c>
      <c r="O107" s="66">
        <v>0</v>
      </c>
      <c r="P107" s="66">
        <v>0</v>
      </c>
      <c r="Q107" s="66">
        <v>0</v>
      </c>
      <c r="R107" s="236">
        <v>220500</v>
      </c>
      <c r="S107" s="66">
        <v>56000</v>
      </c>
      <c r="T107" s="66">
        <v>144500</v>
      </c>
      <c r="U107" s="66">
        <v>56000</v>
      </c>
      <c r="V107" s="66">
        <v>56000</v>
      </c>
      <c r="W107" s="66">
        <v>56000</v>
      </c>
      <c r="X107" s="66">
        <v>56000</v>
      </c>
      <c r="Y107" s="66">
        <v>0</v>
      </c>
      <c r="Z107" s="66">
        <v>0</v>
      </c>
      <c r="AA107" s="66">
        <v>0</v>
      </c>
      <c r="AB107" s="66">
        <v>0</v>
      </c>
      <c r="AC107" s="66">
        <v>0</v>
      </c>
      <c r="AD107" s="236">
        <v>424500</v>
      </c>
    </row>
    <row r="108" spans="1:30" s="315" customFormat="1" ht="87" customHeight="1" x14ac:dyDescent="0.3">
      <c r="A108" s="1076"/>
      <c r="B108" s="775" t="s">
        <v>8</v>
      </c>
      <c r="C108" s="274" t="s">
        <v>243</v>
      </c>
      <c r="D108" s="72"/>
      <c r="E108" s="72">
        <v>200000</v>
      </c>
      <c r="F108" s="236">
        <v>200000</v>
      </c>
      <c r="G108" s="66">
        <v>0</v>
      </c>
      <c r="H108" s="66">
        <v>0</v>
      </c>
      <c r="I108" s="66">
        <v>0</v>
      </c>
      <c r="J108" s="66">
        <v>0</v>
      </c>
      <c r="K108" s="66">
        <v>0</v>
      </c>
      <c r="L108" s="66">
        <v>0</v>
      </c>
      <c r="M108" s="66">
        <v>0</v>
      </c>
      <c r="N108" s="66">
        <v>100000</v>
      </c>
      <c r="O108" s="66">
        <v>0</v>
      </c>
      <c r="P108" s="66">
        <v>0</v>
      </c>
      <c r="Q108" s="66">
        <v>0</v>
      </c>
      <c r="R108" s="618">
        <v>100000</v>
      </c>
      <c r="S108" s="66">
        <v>0</v>
      </c>
      <c r="T108" s="66">
        <v>0</v>
      </c>
      <c r="U108" s="66">
        <v>100000</v>
      </c>
      <c r="V108" s="66">
        <v>0</v>
      </c>
      <c r="W108" s="66">
        <v>0</v>
      </c>
      <c r="X108" s="66">
        <v>0</v>
      </c>
      <c r="Y108" s="66">
        <v>0</v>
      </c>
      <c r="Z108" s="66">
        <v>0</v>
      </c>
      <c r="AA108" s="66">
        <v>0</v>
      </c>
      <c r="AB108" s="66">
        <v>0</v>
      </c>
      <c r="AC108" s="66">
        <v>0</v>
      </c>
      <c r="AD108" s="618">
        <v>100000</v>
      </c>
    </row>
    <row r="109" spans="1:30" s="315" customFormat="1" ht="88.95" customHeight="1" x14ac:dyDescent="0.3">
      <c r="A109" s="1077"/>
      <c r="B109" s="765" t="s">
        <v>9</v>
      </c>
      <c r="C109" s="245" t="s">
        <v>245</v>
      </c>
      <c r="D109" s="72">
        <v>1074908.6000000001</v>
      </c>
      <c r="E109" s="72"/>
      <c r="F109" s="236">
        <v>1074908.6000000001</v>
      </c>
      <c r="G109" s="66">
        <v>0</v>
      </c>
      <c r="H109" s="66">
        <v>0</v>
      </c>
      <c r="I109" s="66">
        <v>0</v>
      </c>
      <c r="J109" s="66">
        <v>14150</v>
      </c>
      <c r="K109" s="66">
        <v>0</v>
      </c>
      <c r="L109" s="66">
        <v>0</v>
      </c>
      <c r="M109" s="66">
        <v>100000</v>
      </c>
      <c r="N109" s="66">
        <v>0</v>
      </c>
      <c r="O109" s="66">
        <v>0</v>
      </c>
      <c r="P109" s="66">
        <v>250000</v>
      </c>
      <c r="Q109" s="66">
        <v>0</v>
      </c>
      <c r="R109" s="236">
        <v>364150</v>
      </c>
      <c r="S109" s="66">
        <v>0</v>
      </c>
      <c r="T109" s="66">
        <v>0</v>
      </c>
      <c r="U109" s="66">
        <v>182450</v>
      </c>
      <c r="V109" s="66">
        <v>166458</v>
      </c>
      <c r="W109" s="66">
        <v>0</v>
      </c>
      <c r="X109" s="66">
        <v>81850.600000000006</v>
      </c>
      <c r="Y109" s="66">
        <v>56000</v>
      </c>
      <c r="Z109" s="66">
        <v>56000</v>
      </c>
      <c r="AA109" s="66">
        <v>56000</v>
      </c>
      <c r="AB109" s="66">
        <v>56000</v>
      </c>
      <c r="AC109" s="66">
        <v>56000</v>
      </c>
      <c r="AD109" s="236">
        <v>710758.6</v>
      </c>
    </row>
    <row r="110" spans="1:30" s="67" customFormat="1" ht="30.75" customHeight="1" x14ac:dyDescent="0.3">
      <c r="A110" s="320" t="s">
        <v>829</v>
      </c>
      <c r="B110" s="360"/>
      <c r="C110" s="317"/>
      <c r="D110" s="317"/>
      <c r="E110" s="317"/>
      <c r="F110" s="318"/>
      <c r="G110" s="280"/>
      <c r="H110" s="280"/>
      <c r="I110" s="280"/>
      <c r="J110" s="280"/>
      <c r="K110" s="280"/>
      <c r="L110" s="280"/>
      <c r="M110" s="280"/>
      <c r="N110" s="280"/>
      <c r="O110" s="280"/>
      <c r="P110" s="280"/>
      <c r="Q110" s="280"/>
      <c r="R110" s="57"/>
      <c r="S110" s="280"/>
      <c r="T110" s="280"/>
      <c r="U110" s="280"/>
      <c r="V110" s="280"/>
      <c r="W110" s="280"/>
      <c r="X110" s="280"/>
      <c r="Y110" s="280"/>
      <c r="Z110" s="280"/>
      <c r="AA110" s="280"/>
      <c r="AB110" s="280"/>
      <c r="AC110" s="280"/>
      <c r="AD110" s="57"/>
    </row>
    <row r="111" spans="1:30" s="67" customFormat="1" ht="33" customHeight="1" x14ac:dyDescent="0.3">
      <c r="A111" s="282" t="s">
        <v>830</v>
      </c>
      <c r="B111" s="361"/>
      <c r="C111" s="284"/>
      <c r="D111" s="283"/>
      <c r="E111" s="283"/>
      <c r="F111" s="285"/>
      <c r="G111" s="222"/>
      <c r="H111" s="222"/>
      <c r="I111" s="222"/>
      <c r="J111" s="222"/>
      <c r="K111" s="222"/>
      <c r="L111" s="222"/>
      <c r="M111" s="222"/>
      <c r="N111" s="222"/>
      <c r="O111" s="222"/>
      <c r="P111" s="222"/>
      <c r="Q111" s="222"/>
      <c r="R111" s="222"/>
      <c r="S111" s="222"/>
      <c r="T111" s="222"/>
      <c r="U111" s="222"/>
      <c r="V111" s="222"/>
      <c r="W111" s="222"/>
      <c r="X111" s="222"/>
      <c r="Y111" s="222"/>
      <c r="Z111" s="222"/>
      <c r="AA111" s="222"/>
      <c r="AB111" s="222"/>
      <c r="AC111" s="222"/>
      <c r="AD111" s="222"/>
    </row>
    <row r="112" spans="1:30" ht="35.25" customHeight="1" x14ac:dyDescent="0.3">
      <c r="A112" s="1114" t="s">
        <v>272</v>
      </c>
      <c r="B112" s="266"/>
      <c r="C112" s="272"/>
      <c r="D112" s="267">
        <v>500000</v>
      </c>
      <c r="E112" s="267">
        <v>0</v>
      </c>
      <c r="F112" s="267">
        <v>500000</v>
      </c>
      <c r="G112" s="267">
        <v>0</v>
      </c>
      <c r="H112" s="267">
        <v>0</v>
      </c>
      <c r="I112" s="267">
        <v>0</v>
      </c>
      <c r="J112" s="267">
        <v>0</v>
      </c>
      <c r="K112" s="267">
        <v>0</v>
      </c>
      <c r="L112" s="267">
        <v>0</v>
      </c>
      <c r="M112" s="267">
        <v>55700.01</v>
      </c>
      <c r="N112" s="267">
        <v>50000</v>
      </c>
      <c r="O112" s="267">
        <v>50000</v>
      </c>
      <c r="P112" s="267">
        <v>80000</v>
      </c>
      <c r="Q112" s="267">
        <v>64299.99</v>
      </c>
      <c r="R112" s="267">
        <v>300000</v>
      </c>
      <c r="S112" s="267">
        <v>0</v>
      </c>
      <c r="T112" s="267">
        <v>0</v>
      </c>
      <c r="U112" s="267">
        <v>20000</v>
      </c>
      <c r="V112" s="267">
        <v>75000</v>
      </c>
      <c r="W112" s="267">
        <v>10000</v>
      </c>
      <c r="X112" s="267">
        <v>0</v>
      </c>
      <c r="Y112" s="267">
        <v>0</v>
      </c>
      <c r="Z112" s="267">
        <v>85000</v>
      </c>
      <c r="AA112" s="267">
        <v>0</v>
      </c>
      <c r="AB112" s="267">
        <v>0</v>
      </c>
      <c r="AC112" s="267">
        <v>10000</v>
      </c>
      <c r="AD112" s="267">
        <v>200000</v>
      </c>
    </row>
    <row r="113" spans="1:30" s="315" customFormat="1" ht="105" customHeight="1" x14ac:dyDescent="0.3">
      <c r="A113" s="1115"/>
      <c r="B113" s="767" t="s">
        <v>2</v>
      </c>
      <c r="C113" s="245" t="s">
        <v>273</v>
      </c>
      <c r="D113" s="72">
        <v>500000</v>
      </c>
      <c r="E113" s="72"/>
      <c r="F113" s="236">
        <v>500000</v>
      </c>
      <c r="G113" s="66">
        <v>0</v>
      </c>
      <c r="H113" s="66">
        <v>0</v>
      </c>
      <c r="I113" s="66">
        <v>0</v>
      </c>
      <c r="J113" s="66">
        <v>0</v>
      </c>
      <c r="K113" s="66">
        <v>0</v>
      </c>
      <c r="L113" s="66">
        <v>0</v>
      </c>
      <c r="M113" s="66">
        <v>55700.01</v>
      </c>
      <c r="N113" s="66">
        <v>50000</v>
      </c>
      <c r="O113" s="66">
        <v>50000</v>
      </c>
      <c r="P113" s="66">
        <v>80000</v>
      </c>
      <c r="Q113" s="66">
        <v>64299.99</v>
      </c>
      <c r="R113" s="236">
        <v>300000</v>
      </c>
      <c r="S113" s="66">
        <v>0</v>
      </c>
      <c r="T113" s="66">
        <v>0</v>
      </c>
      <c r="U113" s="66">
        <v>20000</v>
      </c>
      <c r="V113" s="66">
        <v>75000</v>
      </c>
      <c r="W113" s="66">
        <v>10000</v>
      </c>
      <c r="X113" s="66">
        <v>0</v>
      </c>
      <c r="Y113" s="66">
        <v>0</v>
      </c>
      <c r="Z113" s="66">
        <v>85000</v>
      </c>
      <c r="AA113" s="66">
        <v>0</v>
      </c>
      <c r="AB113" s="66">
        <v>0</v>
      </c>
      <c r="AC113" s="66">
        <v>10000</v>
      </c>
      <c r="AD113" s="236">
        <v>200000</v>
      </c>
    </row>
    <row r="114" spans="1:30" s="67" customFormat="1" ht="33" customHeight="1" x14ac:dyDescent="0.3">
      <c r="A114" s="1114" t="s">
        <v>97</v>
      </c>
      <c r="B114" s="266"/>
      <c r="C114" s="288"/>
      <c r="D114" s="267">
        <v>1584595.48</v>
      </c>
      <c r="E114" s="267">
        <v>6412670.9199999999</v>
      </c>
      <c r="F114" s="267">
        <v>7997266.4000000004</v>
      </c>
      <c r="G114" s="267">
        <v>279585</v>
      </c>
      <c r="H114" s="267">
        <v>869336</v>
      </c>
      <c r="I114" s="267">
        <v>175146.65</v>
      </c>
      <c r="J114" s="267">
        <v>122180.92</v>
      </c>
      <c r="K114" s="267">
        <v>25000</v>
      </c>
      <c r="L114" s="267">
        <v>0</v>
      </c>
      <c r="M114" s="267">
        <v>224533.74</v>
      </c>
      <c r="N114" s="267">
        <v>378640.92</v>
      </c>
      <c r="O114" s="267">
        <v>380000</v>
      </c>
      <c r="P114" s="267">
        <v>542000</v>
      </c>
      <c r="Q114" s="267">
        <v>582000</v>
      </c>
      <c r="R114" s="267">
        <v>3578423.23</v>
      </c>
      <c r="S114" s="267">
        <v>90000</v>
      </c>
      <c r="T114" s="267">
        <v>741912.09</v>
      </c>
      <c r="U114" s="267">
        <v>455000</v>
      </c>
      <c r="V114" s="267">
        <v>515000</v>
      </c>
      <c r="W114" s="267">
        <v>491000</v>
      </c>
      <c r="X114" s="267">
        <v>1371811.9000000001</v>
      </c>
      <c r="Y114" s="267">
        <v>215000</v>
      </c>
      <c r="Z114" s="267">
        <v>215000</v>
      </c>
      <c r="AA114" s="267">
        <v>188119.18</v>
      </c>
      <c r="AB114" s="267">
        <v>136000</v>
      </c>
      <c r="AC114" s="267">
        <v>0</v>
      </c>
      <c r="AD114" s="267">
        <v>4418843.17</v>
      </c>
    </row>
    <row r="115" spans="1:30" s="315" customFormat="1" ht="109.2" customHeight="1" x14ac:dyDescent="0.3">
      <c r="A115" s="1116"/>
      <c r="B115" s="765" t="s">
        <v>2</v>
      </c>
      <c r="C115" s="232" t="s">
        <v>267</v>
      </c>
      <c r="D115" s="72"/>
      <c r="E115" s="72">
        <v>4352639.6500000004</v>
      </c>
      <c r="F115" s="236">
        <v>4352639.6500000004</v>
      </c>
      <c r="G115" s="66">
        <v>275575</v>
      </c>
      <c r="H115" s="66">
        <v>868461</v>
      </c>
      <c r="I115" s="66">
        <v>170031.65</v>
      </c>
      <c r="J115" s="66">
        <v>0</v>
      </c>
      <c r="K115" s="66">
        <v>0</v>
      </c>
      <c r="L115" s="66">
        <v>0</v>
      </c>
      <c r="M115" s="66">
        <v>0</v>
      </c>
      <c r="N115" s="66">
        <v>223640.91999999998</v>
      </c>
      <c r="O115" s="66">
        <v>290000</v>
      </c>
      <c r="P115" s="66">
        <v>190000</v>
      </c>
      <c r="Q115" s="66">
        <v>300000</v>
      </c>
      <c r="R115" s="618">
        <v>2317708.5699999998</v>
      </c>
      <c r="S115" s="66">
        <v>0</v>
      </c>
      <c r="T115" s="66">
        <v>290000</v>
      </c>
      <c r="U115" s="66">
        <v>200000</v>
      </c>
      <c r="V115" s="66">
        <v>200000</v>
      </c>
      <c r="W115" s="66">
        <v>290000</v>
      </c>
      <c r="X115" s="66">
        <v>1054931.08</v>
      </c>
      <c r="Y115" s="66">
        <v>0</v>
      </c>
      <c r="Z115" s="66">
        <v>0</v>
      </c>
      <c r="AA115" s="66">
        <v>0</v>
      </c>
      <c r="AB115" s="66">
        <v>0</v>
      </c>
      <c r="AC115" s="66">
        <v>0</v>
      </c>
      <c r="AD115" s="618">
        <v>2034931.08</v>
      </c>
    </row>
    <row r="116" spans="1:30" s="315" customFormat="1" ht="87.75" customHeight="1" x14ac:dyDescent="0.3">
      <c r="A116" s="1116"/>
      <c r="B116" s="767" t="s">
        <v>3</v>
      </c>
      <c r="C116" s="245" t="s">
        <v>268</v>
      </c>
      <c r="D116" s="72"/>
      <c r="E116" s="72">
        <v>2060031.2699999998</v>
      </c>
      <c r="F116" s="236">
        <v>2060031.2699999998</v>
      </c>
      <c r="G116" s="66">
        <v>4010</v>
      </c>
      <c r="H116" s="66">
        <v>875</v>
      </c>
      <c r="I116" s="66">
        <v>5115</v>
      </c>
      <c r="J116" s="66">
        <v>97180.92</v>
      </c>
      <c r="K116" s="66">
        <v>0</v>
      </c>
      <c r="L116" s="66">
        <v>0</v>
      </c>
      <c r="M116" s="66">
        <v>92819.08</v>
      </c>
      <c r="N116" s="66">
        <v>90000</v>
      </c>
      <c r="O116" s="66">
        <v>90000</v>
      </c>
      <c r="P116" s="66">
        <v>172000</v>
      </c>
      <c r="Q116" s="66">
        <v>162000</v>
      </c>
      <c r="R116" s="618">
        <v>714000</v>
      </c>
      <c r="S116" s="66">
        <v>0</v>
      </c>
      <c r="T116" s="66">
        <v>261912.09</v>
      </c>
      <c r="U116" s="66">
        <v>150000</v>
      </c>
      <c r="V116" s="66">
        <v>150000</v>
      </c>
      <c r="W116" s="66">
        <v>126000</v>
      </c>
      <c r="X116" s="66">
        <v>140000</v>
      </c>
      <c r="Y116" s="66">
        <v>140000</v>
      </c>
      <c r="Z116" s="66">
        <v>140000</v>
      </c>
      <c r="AA116" s="66">
        <v>138119.18</v>
      </c>
      <c r="AB116" s="66">
        <v>100000</v>
      </c>
      <c r="AC116" s="66">
        <v>0</v>
      </c>
      <c r="AD116" s="618">
        <v>1346031.2699999998</v>
      </c>
    </row>
    <row r="117" spans="1:30" s="315" customFormat="1" ht="98.4" customHeight="1" x14ac:dyDescent="0.3">
      <c r="A117" s="1116"/>
      <c r="B117" s="765" t="s">
        <v>4</v>
      </c>
      <c r="C117" s="232" t="s">
        <v>616</v>
      </c>
      <c r="D117" s="72">
        <v>966000</v>
      </c>
      <c r="E117" s="72"/>
      <c r="F117" s="236">
        <v>966000</v>
      </c>
      <c r="G117" s="66">
        <v>0</v>
      </c>
      <c r="H117" s="66">
        <v>0</v>
      </c>
      <c r="I117" s="66">
        <v>0</v>
      </c>
      <c r="J117" s="66">
        <v>0</v>
      </c>
      <c r="K117" s="66">
        <v>0</v>
      </c>
      <c r="L117" s="66">
        <v>0</v>
      </c>
      <c r="M117" s="66">
        <v>0</v>
      </c>
      <c r="N117" s="66">
        <v>0</v>
      </c>
      <c r="O117" s="66">
        <v>0</v>
      </c>
      <c r="P117" s="66">
        <v>135000</v>
      </c>
      <c r="Q117" s="66">
        <v>75000</v>
      </c>
      <c r="R117" s="236">
        <v>210000</v>
      </c>
      <c r="S117" s="66">
        <v>90000</v>
      </c>
      <c r="T117" s="66">
        <v>100000</v>
      </c>
      <c r="U117" s="66">
        <v>105000</v>
      </c>
      <c r="V117" s="66">
        <v>75000</v>
      </c>
      <c r="W117" s="66">
        <v>75000</v>
      </c>
      <c r="X117" s="66">
        <v>75000</v>
      </c>
      <c r="Y117" s="66">
        <v>75000</v>
      </c>
      <c r="Z117" s="66">
        <v>75000</v>
      </c>
      <c r="AA117" s="66">
        <v>50000</v>
      </c>
      <c r="AB117" s="66">
        <v>36000</v>
      </c>
      <c r="AC117" s="66">
        <v>0</v>
      </c>
      <c r="AD117" s="236">
        <v>756000</v>
      </c>
    </row>
    <row r="118" spans="1:30" s="315" customFormat="1" ht="58.95" customHeight="1" x14ac:dyDescent="0.3">
      <c r="A118" s="1115"/>
      <c r="B118" s="765" t="s">
        <v>8</v>
      </c>
      <c r="C118" s="232" t="s">
        <v>613</v>
      </c>
      <c r="D118" s="72">
        <v>618595.48</v>
      </c>
      <c r="E118" s="72"/>
      <c r="F118" s="236">
        <v>618595.48</v>
      </c>
      <c r="G118" s="66">
        <v>0</v>
      </c>
      <c r="H118" s="66">
        <v>0</v>
      </c>
      <c r="I118" s="66">
        <v>0</v>
      </c>
      <c r="J118" s="66">
        <v>25000</v>
      </c>
      <c r="K118" s="66">
        <v>25000</v>
      </c>
      <c r="L118" s="66">
        <v>0</v>
      </c>
      <c r="M118" s="66">
        <v>131714.66</v>
      </c>
      <c r="N118" s="66">
        <v>65000</v>
      </c>
      <c r="O118" s="66">
        <v>0</v>
      </c>
      <c r="P118" s="66">
        <v>45000</v>
      </c>
      <c r="Q118" s="66">
        <v>45000</v>
      </c>
      <c r="R118" s="236">
        <v>336714.66000000003</v>
      </c>
      <c r="S118" s="66">
        <v>0</v>
      </c>
      <c r="T118" s="66">
        <v>90000</v>
      </c>
      <c r="U118" s="66">
        <v>0</v>
      </c>
      <c r="V118" s="66">
        <v>90000</v>
      </c>
      <c r="W118" s="66">
        <v>0</v>
      </c>
      <c r="X118" s="66">
        <v>101880.82</v>
      </c>
      <c r="Y118" s="66">
        <v>0</v>
      </c>
      <c r="Z118" s="66">
        <v>0</v>
      </c>
      <c r="AA118" s="66">
        <v>0</v>
      </c>
      <c r="AB118" s="66">
        <v>0</v>
      </c>
      <c r="AC118" s="66">
        <v>0</v>
      </c>
      <c r="AD118" s="236">
        <v>281880.82</v>
      </c>
    </row>
    <row r="119" spans="1:30" ht="42.75" customHeight="1" x14ac:dyDescent="0.3">
      <c r="A119" s="1075" t="s">
        <v>99</v>
      </c>
      <c r="B119" s="266"/>
      <c r="C119" s="272"/>
      <c r="D119" s="267">
        <v>0</v>
      </c>
      <c r="E119" s="267">
        <v>2212960</v>
      </c>
      <c r="F119" s="267">
        <v>2212960</v>
      </c>
      <c r="G119" s="267">
        <v>0</v>
      </c>
      <c r="H119" s="267">
        <v>0</v>
      </c>
      <c r="I119" s="267">
        <v>0</v>
      </c>
      <c r="J119" s="267">
        <v>100000</v>
      </c>
      <c r="K119" s="267">
        <v>86600</v>
      </c>
      <c r="L119" s="267">
        <v>0</v>
      </c>
      <c r="M119" s="267">
        <v>442720</v>
      </c>
      <c r="N119" s="267">
        <v>879320</v>
      </c>
      <c r="O119" s="267">
        <v>0</v>
      </c>
      <c r="P119" s="267">
        <v>629320</v>
      </c>
      <c r="Q119" s="267">
        <v>0</v>
      </c>
      <c r="R119" s="267">
        <v>2137960</v>
      </c>
      <c r="S119" s="267">
        <v>0</v>
      </c>
      <c r="T119" s="267">
        <v>75000</v>
      </c>
      <c r="U119" s="267">
        <v>0</v>
      </c>
      <c r="V119" s="267">
        <v>0</v>
      </c>
      <c r="W119" s="267">
        <v>0</v>
      </c>
      <c r="X119" s="267">
        <v>0</v>
      </c>
      <c r="Y119" s="267">
        <v>0</v>
      </c>
      <c r="Z119" s="267">
        <v>0</v>
      </c>
      <c r="AA119" s="267">
        <v>0</v>
      </c>
      <c r="AB119" s="267">
        <v>0</v>
      </c>
      <c r="AC119" s="267">
        <v>0</v>
      </c>
      <c r="AD119" s="267">
        <v>75000</v>
      </c>
    </row>
    <row r="120" spans="1:30" s="315" customFormat="1" ht="51" customHeight="1" x14ac:dyDescent="0.3">
      <c r="A120" s="1076"/>
      <c r="B120" s="766" t="s">
        <v>2</v>
      </c>
      <c r="C120" s="273" t="s">
        <v>487</v>
      </c>
      <c r="D120" s="72"/>
      <c r="E120" s="72">
        <v>954320</v>
      </c>
      <c r="F120" s="236">
        <v>954320</v>
      </c>
      <c r="G120" s="66">
        <v>0</v>
      </c>
      <c r="H120" s="66">
        <v>0</v>
      </c>
      <c r="I120" s="66">
        <v>0</v>
      </c>
      <c r="J120" s="66">
        <v>100000</v>
      </c>
      <c r="K120" s="66">
        <v>86600</v>
      </c>
      <c r="L120" s="66">
        <v>0</v>
      </c>
      <c r="M120" s="66">
        <v>442720</v>
      </c>
      <c r="N120" s="66">
        <v>250000</v>
      </c>
      <c r="O120" s="66">
        <v>0</v>
      </c>
      <c r="P120" s="66">
        <v>0</v>
      </c>
      <c r="Q120" s="66">
        <v>0</v>
      </c>
      <c r="R120" s="618">
        <v>879320</v>
      </c>
      <c r="S120" s="66">
        <v>0</v>
      </c>
      <c r="T120" s="66">
        <v>75000</v>
      </c>
      <c r="U120" s="66">
        <v>0</v>
      </c>
      <c r="V120" s="66">
        <v>0</v>
      </c>
      <c r="W120" s="66">
        <v>0</v>
      </c>
      <c r="X120" s="66">
        <v>0</v>
      </c>
      <c r="Y120" s="66">
        <v>0</v>
      </c>
      <c r="Z120" s="66">
        <v>0</v>
      </c>
      <c r="AA120" s="66">
        <v>0</v>
      </c>
      <c r="AB120" s="66">
        <v>0</v>
      </c>
      <c r="AC120" s="66">
        <v>0</v>
      </c>
      <c r="AD120" s="618">
        <v>75000</v>
      </c>
    </row>
    <row r="121" spans="1:30" s="315" customFormat="1" ht="63" customHeight="1" x14ac:dyDescent="0.3">
      <c r="A121" s="1076"/>
      <c r="B121" s="765" t="s">
        <v>3</v>
      </c>
      <c r="C121" s="273" t="s">
        <v>488</v>
      </c>
      <c r="D121" s="72"/>
      <c r="E121" s="72">
        <v>629320</v>
      </c>
      <c r="F121" s="236">
        <v>629320</v>
      </c>
      <c r="G121" s="66">
        <v>0</v>
      </c>
      <c r="H121" s="66">
        <v>0</v>
      </c>
      <c r="I121" s="66">
        <v>0</v>
      </c>
      <c r="J121" s="66">
        <v>0</v>
      </c>
      <c r="K121" s="66">
        <v>0</v>
      </c>
      <c r="L121" s="66">
        <v>0</v>
      </c>
      <c r="M121" s="66">
        <v>0</v>
      </c>
      <c r="N121" s="66">
        <v>629320</v>
      </c>
      <c r="O121" s="66">
        <v>0</v>
      </c>
      <c r="P121" s="66">
        <v>0</v>
      </c>
      <c r="Q121" s="66">
        <v>0</v>
      </c>
      <c r="R121" s="618">
        <v>629320</v>
      </c>
      <c r="S121" s="66">
        <v>0</v>
      </c>
      <c r="T121" s="66">
        <v>0</v>
      </c>
      <c r="U121" s="66">
        <v>0</v>
      </c>
      <c r="V121" s="66">
        <v>0</v>
      </c>
      <c r="W121" s="66">
        <v>0</v>
      </c>
      <c r="X121" s="66">
        <v>0</v>
      </c>
      <c r="Y121" s="66">
        <v>0</v>
      </c>
      <c r="Z121" s="66">
        <v>0</v>
      </c>
      <c r="AA121" s="66">
        <v>0</v>
      </c>
      <c r="AB121" s="66">
        <v>0</v>
      </c>
      <c r="AC121" s="66">
        <v>0</v>
      </c>
      <c r="AD121" s="618">
        <v>0</v>
      </c>
    </row>
    <row r="122" spans="1:30" s="315" customFormat="1" ht="54" customHeight="1" x14ac:dyDescent="0.3">
      <c r="A122" s="1077"/>
      <c r="B122" s="765" t="s">
        <v>4</v>
      </c>
      <c r="C122" s="273" t="s">
        <v>489</v>
      </c>
      <c r="D122" s="72"/>
      <c r="E122" s="72">
        <v>629320</v>
      </c>
      <c r="F122" s="236">
        <v>629320</v>
      </c>
      <c r="G122" s="66">
        <v>0</v>
      </c>
      <c r="H122" s="66">
        <v>0</v>
      </c>
      <c r="I122" s="66">
        <v>0</v>
      </c>
      <c r="J122" s="66">
        <v>0</v>
      </c>
      <c r="K122" s="66">
        <v>0</v>
      </c>
      <c r="L122" s="66">
        <v>0</v>
      </c>
      <c r="M122" s="66">
        <v>0</v>
      </c>
      <c r="N122" s="66">
        <v>0</v>
      </c>
      <c r="O122" s="66">
        <v>0</v>
      </c>
      <c r="P122" s="66">
        <v>629320</v>
      </c>
      <c r="Q122" s="66">
        <v>0</v>
      </c>
      <c r="R122" s="618">
        <v>629320</v>
      </c>
      <c r="S122" s="66">
        <v>0</v>
      </c>
      <c r="T122" s="66">
        <v>0</v>
      </c>
      <c r="U122" s="66">
        <v>0</v>
      </c>
      <c r="V122" s="66">
        <v>0</v>
      </c>
      <c r="W122" s="66">
        <v>0</v>
      </c>
      <c r="X122" s="66">
        <v>0</v>
      </c>
      <c r="Y122" s="66">
        <v>0</v>
      </c>
      <c r="Z122" s="66">
        <v>0</v>
      </c>
      <c r="AA122" s="66">
        <v>0</v>
      </c>
      <c r="AB122" s="66">
        <v>0</v>
      </c>
      <c r="AC122" s="66">
        <v>0</v>
      </c>
      <c r="AD122" s="618">
        <v>0</v>
      </c>
    </row>
    <row r="123" spans="1:30" s="67" customFormat="1" ht="38.25" customHeight="1" x14ac:dyDescent="0.3">
      <c r="A123" s="282" t="s">
        <v>831</v>
      </c>
      <c r="B123" s="361"/>
      <c r="C123" s="284"/>
      <c r="D123" s="283"/>
      <c r="E123" s="283"/>
      <c r="F123" s="285"/>
      <c r="G123" s="222"/>
      <c r="H123" s="222"/>
      <c r="I123" s="222"/>
      <c r="J123" s="222"/>
      <c r="K123" s="222"/>
      <c r="L123" s="222"/>
      <c r="M123" s="222"/>
      <c r="N123" s="222"/>
      <c r="O123" s="222"/>
      <c r="P123" s="222"/>
      <c r="Q123" s="222"/>
      <c r="R123" s="222"/>
      <c r="S123" s="222"/>
      <c r="T123" s="222"/>
      <c r="U123" s="222"/>
      <c r="V123" s="222"/>
      <c r="W123" s="222"/>
      <c r="X123" s="222"/>
      <c r="Y123" s="222"/>
      <c r="Z123" s="222"/>
      <c r="AA123" s="222"/>
      <c r="AB123" s="222"/>
      <c r="AC123" s="222"/>
      <c r="AD123" s="222"/>
    </row>
    <row r="124" spans="1:30" ht="42.75" customHeight="1" x14ac:dyDescent="0.3">
      <c r="A124" s="1075" t="s">
        <v>100</v>
      </c>
      <c r="B124" s="266"/>
      <c r="C124" s="272"/>
      <c r="D124" s="267">
        <v>165000</v>
      </c>
      <c r="E124" s="267">
        <v>1340530</v>
      </c>
      <c r="F124" s="267">
        <v>1505530</v>
      </c>
      <c r="G124" s="267">
        <v>0</v>
      </c>
      <c r="H124" s="267">
        <v>0</v>
      </c>
      <c r="I124" s="267">
        <v>0</v>
      </c>
      <c r="J124" s="267">
        <v>0</v>
      </c>
      <c r="K124" s="267">
        <v>0</v>
      </c>
      <c r="L124" s="267">
        <v>0</v>
      </c>
      <c r="M124" s="267">
        <v>0</v>
      </c>
      <c r="N124" s="267">
        <v>0</v>
      </c>
      <c r="O124" s="267">
        <v>0</v>
      </c>
      <c r="P124" s="267">
        <v>566530</v>
      </c>
      <c r="Q124" s="267">
        <v>0</v>
      </c>
      <c r="R124" s="267">
        <v>566530</v>
      </c>
      <c r="S124" s="267">
        <v>0</v>
      </c>
      <c r="T124" s="267">
        <v>200000</v>
      </c>
      <c r="U124" s="267">
        <v>0</v>
      </c>
      <c r="V124" s="267">
        <v>739000</v>
      </c>
      <c r="W124" s="267">
        <v>0</v>
      </c>
      <c r="X124" s="267">
        <v>0</v>
      </c>
      <c r="Y124" s="267">
        <v>0</v>
      </c>
      <c r="Z124" s="267">
        <v>0</v>
      </c>
      <c r="AA124" s="267">
        <v>0</v>
      </c>
      <c r="AB124" s="267">
        <v>0</v>
      </c>
      <c r="AC124" s="267">
        <v>0</v>
      </c>
      <c r="AD124" s="267">
        <v>939000</v>
      </c>
    </row>
    <row r="125" spans="1:30" s="315" customFormat="1" ht="85.95" customHeight="1" x14ac:dyDescent="0.3">
      <c r="A125" s="1076"/>
      <c r="B125" s="767" t="s">
        <v>2</v>
      </c>
      <c r="C125" s="245" t="s">
        <v>264</v>
      </c>
      <c r="D125" s="72"/>
      <c r="E125" s="72">
        <v>1223750</v>
      </c>
      <c r="F125" s="236">
        <v>1223750</v>
      </c>
      <c r="G125" s="66">
        <v>0</v>
      </c>
      <c r="H125" s="66">
        <v>0</v>
      </c>
      <c r="I125" s="66">
        <v>0</v>
      </c>
      <c r="J125" s="66">
        <v>0</v>
      </c>
      <c r="K125" s="66">
        <v>0</v>
      </c>
      <c r="L125" s="66">
        <v>0</v>
      </c>
      <c r="M125" s="66">
        <v>0</v>
      </c>
      <c r="N125" s="66">
        <v>0</v>
      </c>
      <c r="O125" s="66">
        <v>0</v>
      </c>
      <c r="P125" s="66">
        <v>284750</v>
      </c>
      <c r="Q125" s="66">
        <v>0</v>
      </c>
      <c r="R125" s="618">
        <v>284750</v>
      </c>
      <c r="S125" s="66">
        <v>0</v>
      </c>
      <c r="T125" s="66">
        <v>200000</v>
      </c>
      <c r="U125" s="66">
        <v>0</v>
      </c>
      <c r="V125" s="66">
        <v>739000</v>
      </c>
      <c r="W125" s="66">
        <v>0</v>
      </c>
      <c r="X125" s="66">
        <v>0</v>
      </c>
      <c r="Y125" s="66">
        <v>0</v>
      </c>
      <c r="Z125" s="66">
        <v>0</v>
      </c>
      <c r="AA125" s="66">
        <v>0</v>
      </c>
      <c r="AB125" s="66">
        <v>0</v>
      </c>
      <c r="AC125" s="66">
        <v>0</v>
      </c>
      <c r="AD125" s="618">
        <v>939000</v>
      </c>
    </row>
    <row r="126" spans="1:30" s="315" customFormat="1" ht="91.95" customHeight="1" x14ac:dyDescent="0.3">
      <c r="A126" s="1076"/>
      <c r="B126" s="776" t="s">
        <v>3</v>
      </c>
      <c r="C126" s="232" t="s">
        <v>263</v>
      </c>
      <c r="D126" s="72">
        <v>165000</v>
      </c>
      <c r="E126" s="72"/>
      <c r="F126" s="236">
        <v>165000</v>
      </c>
      <c r="G126" s="66">
        <v>0</v>
      </c>
      <c r="H126" s="66">
        <v>0</v>
      </c>
      <c r="I126" s="66">
        <v>0</v>
      </c>
      <c r="J126" s="66">
        <v>0</v>
      </c>
      <c r="K126" s="66">
        <v>0</v>
      </c>
      <c r="L126" s="66">
        <v>0</v>
      </c>
      <c r="M126" s="66">
        <v>0</v>
      </c>
      <c r="N126" s="66">
        <v>0</v>
      </c>
      <c r="O126" s="66">
        <v>0</v>
      </c>
      <c r="P126" s="66">
        <v>165000</v>
      </c>
      <c r="Q126" s="66">
        <v>0</v>
      </c>
      <c r="R126" s="236">
        <v>165000</v>
      </c>
      <c r="S126" s="66">
        <v>0</v>
      </c>
      <c r="T126" s="66">
        <v>0</v>
      </c>
      <c r="U126" s="66">
        <v>0</v>
      </c>
      <c r="V126" s="66">
        <v>0</v>
      </c>
      <c r="W126" s="66">
        <v>0</v>
      </c>
      <c r="X126" s="66">
        <v>0</v>
      </c>
      <c r="Y126" s="66">
        <v>0</v>
      </c>
      <c r="Z126" s="66">
        <v>0</v>
      </c>
      <c r="AA126" s="66">
        <v>0</v>
      </c>
      <c r="AB126" s="66">
        <v>0</v>
      </c>
      <c r="AC126" s="66">
        <v>0</v>
      </c>
      <c r="AD126" s="236">
        <v>0</v>
      </c>
    </row>
    <row r="127" spans="1:30" s="315" customFormat="1" ht="93" customHeight="1" x14ac:dyDescent="0.3">
      <c r="A127" s="1077"/>
      <c r="B127" s="362" t="s">
        <v>4</v>
      </c>
      <c r="C127" s="273" t="s">
        <v>265</v>
      </c>
      <c r="D127" s="72"/>
      <c r="E127" s="72">
        <v>116780</v>
      </c>
      <c r="F127" s="236">
        <v>116780</v>
      </c>
      <c r="G127" s="66">
        <v>0</v>
      </c>
      <c r="H127" s="66">
        <v>0</v>
      </c>
      <c r="I127" s="66">
        <v>0</v>
      </c>
      <c r="J127" s="66">
        <v>0</v>
      </c>
      <c r="K127" s="66">
        <v>0</v>
      </c>
      <c r="L127" s="66">
        <v>0</v>
      </c>
      <c r="M127" s="66">
        <v>0</v>
      </c>
      <c r="N127" s="66">
        <v>0</v>
      </c>
      <c r="O127" s="66">
        <v>0</v>
      </c>
      <c r="P127" s="66">
        <v>116780</v>
      </c>
      <c r="Q127" s="66">
        <v>0</v>
      </c>
      <c r="R127" s="618">
        <v>116780</v>
      </c>
      <c r="S127" s="66">
        <v>0</v>
      </c>
      <c r="T127" s="66">
        <v>0</v>
      </c>
      <c r="U127" s="66">
        <v>0</v>
      </c>
      <c r="V127" s="66">
        <v>0</v>
      </c>
      <c r="W127" s="66">
        <v>0</v>
      </c>
      <c r="X127" s="66">
        <v>0</v>
      </c>
      <c r="Y127" s="66">
        <v>0</v>
      </c>
      <c r="Z127" s="66">
        <v>0</v>
      </c>
      <c r="AA127" s="66">
        <v>0</v>
      </c>
      <c r="AB127" s="66">
        <v>0</v>
      </c>
      <c r="AC127" s="66">
        <v>0</v>
      </c>
      <c r="AD127" s="618">
        <v>0</v>
      </c>
    </row>
    <row r="128" spans="1:30" s="89" customFormat="1" ht="107.4" customHeight="1" x14ac:dyDescent="0.3">
      <c r="A128" s="1078" t="s">
        <v>832</v>
      </c>
      <c r="B128" s="1079"/>
      <c r="C128" s="1079"/>
      <c r="D128" s="297">
        <v>6154700</v>
      </c>
      <c r="E128" s="297">
        <v>8619953.8200000003</v>
      </c>
      <c r="F128" s="297">
        <v>14774653.82</v>
      </c>
      <c r="G128" s="297">
        <v>22000</v>
      </c>
      <c r="H128" s="297">
        <v>22000</v>
      </c>
      <c r="I128" s="297">
        <v>22000</v>
      </c>
      <c r="J128" s="297">
        <v>1278000</v>
      </c>
      <c r="K128" s="297">
        <v>194000</v>
      </c>
      <c r="L128" s="297">
        <v>69000</v>
      </c>
      <c r="M128" s="297">
        <v>414490.35</v>
      </c>
      <c r="N128" s="297">
        <v>1454400</v>
      </c>
      <c r="O128" s="297">
        <v>688103.5</v>
      </c>
      <c r="P128" s="297">
        <v>517500</v>
      </c>
      <c r="Q128" s="297">
        <v>286000</v>
      </c>
      <c r="R128" s="297">
        <v>4967493.8499999996</v>
      </c>
      <c r="S128" s="297">
        <v>135000</v>
      </c>
      <c r="T128" s="297">
        <v>1177533.8199999998</v>
      </c>
      <c r="U128" s="297">
        <v>3007800</v>
      </c>
      <c r="V128" s="297">
        <v>2798470</v>
      </c>
      <c r="W128" s="297">
        <v>809500</v>
      </c>
      <c r="X128" s="297">
        <v>424000</v>
      </c>
      <c r="Y128" s="297">
        <v>358000</v>
      </c>
      <c r="Z128" s="297">
        <v>338509.65</v>
      </c>
      <c r="AA128" s="297">
        <v>364346.5</v>
      </c>
      <c r="AB128" s="297">
        <v>234000</v>
      </c>
      <c r="AC128" s="297">
        <v>160000</v>
      </c>
      <c r="AD128" s="297">
        <v>9807159.9700000007</v>
      </c>
    </row>
    <row r="129" spans="1:30" ht="34.5" customHeight="1" x14ac:dyDescent="0.3">
      <c r="A129" s="330" t="s">
        <v>833</v>
      </c>
      <c r="B129" s="329"/>
      <c r="C129" s="329"/>
      <c r="D129" s="329"/>
      <c r="E129" s="329"/>
      <c r="F129" s="754"/>
      <c r="G129" s="68"/>
      <c r="H129" s="68"/>
      <c r="I129" s="68"/>
      <c r="J129" s="68"/>
      <c r="K129" s="68"/>
      <c r="L129" s="68"/>
      <c r="M129" s="68"/>
      <c r="N129" s="68"/>
      <c r="O129" s="68"/>
      <c r="P129" s="68"/>
      <c r="Q129" s="68"/>
      <c r="R129" s="56"/>
      <c r="S129" s="68"/>
      <c r="T129" s="68"/>
      <c r="U129" s="68"/>
      <c r="V129" s="68"/>
      <c r="W129" s="68"/>
      <c r="X129" s="68"/>
      <c r="Y129" s="68"/>
      <c r="Z129" s="68"/>
      <c r="AA129" s="68"/>
      <c r="AB129" s="68"/>
      <c r="AC129" s="68"/>
      <c r="AD129" s="56"/>
    </row>
    <row r="130" spans="1:30" ht="37.5" customHeight="1" x14ac:dyDescent="0.3">
      <c r="A130" s="331" t="s">
        <v>834</v>
      </c>
      <c r="B130" s="325"/>
      <c r="C130" s="325"/>
      <c r="D130" s="325"/>
      <c r="E130" s="325"/>
      <c r="F130" s="326"/>
      <c r="G130" s="69"/>
      <c r="H130" s="69"/>
      <c r="I130" s="69"/>
      <c r="J130" s="69"/>
      <c r="K130" s="69"/>
      <c r="L130" s="69"/>
      <c r="M130" s="69"/>
      <c r="N130" s="69"/>
      <c r="O130" s="69"/>
      <c r="P130" s="69"/>
      <c r="Q130" s="69"/>
      <c r="R130" s="69"/>
      <c r="S130" s="69"/>
      <c r="T130" s="69"/>
      <c r="U130" s="69"/>
      <c r="V130" s="69"/>
      <c r="W130" s="69"/>
      <c r="X130" s="69"/>
      <c r="Y130" s="69"/>
      <c r="Z130" s="69"/>
      <c r="AA130" s="69"/>
      <c r="AB130" s="69"/>
      <c r="AC130" s="69"/>
      <c r="AD130" s="69"/>
    </row>
    <row r="131" spans="1:30" ht="21" customHeight="1" x14ac:dyDescent="0.3">
      <c r="A131" s="1114" t="s">
        <v>104</v>
      </c>
      <c r="B131" s="266"/>
      <c r="C131" s="301"/>
      <c r="D131" s="267">
        <v>1841690.35</v>
      </c>
      <c r="E131" s="267">
        <v>2355250</v>
      </c>
      <c r="F131" s="267">
        <v>4196940.3499999996</v>
      </c>
      <c r="G131" s="267">
        <v>22000</v>
      </c>
      <c r="H131" s="267">
        <v>22000</v>
      </c>
      <c r="I131" s="267">
        <v>22000</v>
      </c>
      <c r="J131" s="267">
        <v>45000</v>
      </c>
      <c r="K131" s="267">
        <v>25000</v>
      </c>
      <c r="L131" s="267">
        <v>25000</v>
      </c>
      <c r="M131" s="267">
        <v>94490.35</v>
      </c>
      <c r="N131" s="267">
        <v>153000</v>
      </c>
      <c r="O131" s="267">
        <v>334250</v>
      </c>
      <c r="P131" s="267">
        <v>154000</v>
      </c>
      <c r="Q131" s="267">
        <v>95000</v>
      </c>
      <c r="R131" s="267">
        <v>991740.35</v>
      </c>
      <c r="S131" s="267">
        <v>69000</v>
      </c>
      <c r="T131" s="267">
        <v>95000</v>
      </c>
      <c r="U131" s="267">
        <v>2220000</v>
      </c>
      <c r="V131" s="267">
        <v>209000</v>
      </c>
      <c r="W131" s="267">
        <v>125000</v>
      </c>
      <c r="X131" s="267">
        <v>100000</v>
      </c>
      <c r="Y131" s="267">
        <v>99000</v>
      </c>
      <c r="Z131" s="267">
        <v>70000</v>
      </c>
      <c r="AA131" s="267">
        <v>115200</v>
      </c>
      <c r="AB131" s="267">
        <v>59000</v>
      </c>
      <c r="AC131" s="267">
        <v>44000</v>
      </c>
      <c r="AD131" s="267">
        <v>3205200</v>
      </c>
    </row>
    <row r="132" spans="1:30" s="334" customFormat="1" ht="78.599999999999994" customHeight="1" x14ac:dyDescent="0.3">
      <c r="A132" s="1116"/>
      <c r="B132" s="316" t="s">
        <v>2</v>
      </c>
      <c r="C132" s="245" t="s">
        <v>285</v>
      </c>
      <c r="D132" s="80">
        <v>1281690.3500000001</v>
      </c>
      <c r="E132" s="80">
        <v>0</v>
      </c>
      <c r="F132" s="236">
        <v>1281690.3500000001</v>
      </c>
      <c r="G132" s="61">
        <v>22000</v>
      </c>
      <c r="H132" s="61">
        <v>22000</v>
      </c>
      <c r="I132" s="61">
        <v>22000</v>
      </c>
      <c r="J132" s="61">
        <v>25000</v>
      </c>
      <c r="K132" s="61">
        <v>25000</v>
      </c>
      <c r="L132" s="61">
        <v>25000</v>
      </c>
      <c r="M132" s="61">
        <v>49490.35</v>
      </c>
      <c r="N132" s="61">
        <v>78000</v>
      </c>
      <c r="O132" s="61">
        <v>104000</v>
      </c>
      <c r="P132" s="61">
        <v>119000</v>
      </c>
      <c r="Q132" s="61">
        <v>75000</v>
      </c>
      <c r="R132" s="83">
        <v>566490.35</v>
      </c>
      <c r="S132" s="61">
        <v>69000</v>
      </c>
      <c r="T132" s="61">
        <v>75000</v>
      </c>
      <c r="U132" s="61">
        <v>75000</v>
      </c>
      <c r="V132" s="61">
        <v>89000</v>
      </c>
      <c r="W132" s="61">
        <v>90000</v>
      </c>
      <c r="X132" s="61">
        <v>50000</v>
      </c>
      <c r="Y132" s="61">
        <v>64000</v>
      </c>
      <c r="Z132" s="61">
        <v>50000</v>
      </c>
      <c r="AA132" s="61">
        <v>50200</v>
      </c>
      <c r="AB132" s="61">
        <v>59000</v>
      </c>
      <c r="AC132" s="61">
        <v>44000</v>
      </c>
      <c r="AD132" s="83">
        <v>715200</v>
      </c>
    </row>
    <row r="133" spans="1:30" s="334" customFormat="1" ht="68.400000000000006" customHeight="1" x14ac:dyDescent="0.3">
      <c r="A133" s="1116"/>
      <c r="B133" s="316" t="s">
        <v>3</v>
      </c>
      <c r="C133" s="245" t="s">
        <v>289</v>
      </c>
      <c r="D133" s="80">
        <v>260000</v>
      </c>
      <c r="E133" s="80">
        <v>0</v>
      </c>
      <c r="F133" s="236">
        <v>260000</v>
      </c>
      <c r="G133" s="61">
        <v>0</v>
      </c>
      <c r="H133" s="61">
        <v>0</v>
      </c>
      <c r="I133" s="61">
        <v>0</v>
      </c>
      <c r="J133" s="61">
        <v>0</v>
      </c>
      <c r="K133" s="61">
        <v>0</v>
      </c>
      <c r="L133" s="61">
        <v>0</v>
      </c>
      <c r="M133" s="61">
        <v>0</v>
      </c>
      <c r="N133" s="61">
        <v>30000</v>
      </c>
      <c r="O133" s="61">
        <v>0</v>
      </c>
      <c r="P133" s="61">
        <v>20000</v>
      </c>
      <c r="Q133" s="61">
        <v>20000</v>
      </c>
      <c r="R133" s="83">
        <v>70000</v>
      </c>
      <c r="S133" s="61">
        <v>0</v>
      </c>
      <c r="T133" s="61">
        <v>20000</v>
      </c>
      <c r="U133" s="61">
        <v>50000</v>
      </c>
      <c r="V133" s="61">
        <v>20000</v>
      </c>
      <c r="W133" s="61">
        <v>20000</v>
      </c>
      <c r="X133" s="61">
        <v>20000</v>
      </c>
      <c r="Y133" s="61">
        <v>20000</v>
      </c>
      <c r="Z133" s="61">
        <v>20000</v>
      </c>
      <c r="AA133" s="61">
        <v>20000</v>
      </c>
      <c r="AB133" s="61">
        <v>0</v>
      </c>
      <c r="AC133" s="61">
        <v>0</v>
      </c>
      <c r="AD133" s="83">
        <v>190000</v>
      </c>
    </row>
    <row r="134" spans="1:30" s="334" customFormat="1" ht="72" customHeight="1" x14ac:dyDescent="0.3">
      <c r="A134" s="1116"/>
      <c r="B134" s="316" t="s">
        <v>4</v>
      </c>
      <c r="C134" s="245" t="s">
        <v>555</v>
      </c>
      <c r="D134" s="80"/>
      <c r="E134" s="80">
        <v>200000</v>
      </c>
      <c r="F134" s="236">
        <v>200000</v>
      </c>
      <c r="G134" s="61">
        <v>0</v>
      </c>
      <c r="H134" s="61">
        <v>0</v>
      </c>
      <c r="I134" s="61">
        <v>0</v>
      </c>
      <c r="J134" s="61">
        <v>0</v>
      </c>
      <c r="K134" s="61">
        <v>0</v>
      </c>
      <c r="L134" s="61">
        <v>0</v>
      </c>
      <c r="M134" s="61">
        <v>0</v>
      </c>
      <c r="N134" s="61">
        <v>0</v>
      </c>
      <c r="O134" s="61">
        <v>100000</v>
      </c>
      <c r="P134" s="61">
        <v>0</v>
      </c>
      <c r="Q134" s="61">
        <v>0</v>
      </c>
      <c r="R134" s="619">
        <v>100000</v>
      </c>
      <c r="S134" s="61">
        <v>0</v>
      </c>
      <c r="T134" s="61">
        <v>0</v>
      </c>
      <c r="U134" s="61">
        <v>0</v>
      </c>
      <c r="V134" s="61">
        <v>100000</v>
      </c>
      <c r="W134" s="61">
        <v>0</v>
      </c>
      <c r="X134" s="61">
        <v>0</v>
      </c>
      <c r="Y134" s="61">
        <v>0</v>
      </c>
      <c r="Z134" s="61">
        <v>0</v>
      </c>
      <c r="AA134" s="61">
        <v>0</v>
      </c>
      <c r="AB134" s="61">
        <v>0</v>
      </c>
      <c r="AC134" s="61">
        <v>0</v>
      </c>
      <c r="AD134" s="619">
        <v>100000</v>
      </c>
    </row>
    <row r="135" spans="1:30" s="334" customFormat="1" ht="105" customHeight="1" x14ac:dyDescent="0.3">
      <c r="A135" s="1116"/>
      <c r="B135" s="316" t="s">
        <v>8</v>
      </c>
      <c r="C135" s="245" t="s">
        <v>294</v>
      </c>
      <c r="D135" s="80"/>
      <c r="E135" s="80">
        <v>2155250</v>
      </c>
      <c r="F135" s="236">
        <v>2155250</v>
      </c>
      <c r="G135" s="61">
        <v>0</v>
      </c>
      <c r="H135" s="61">
        <v>0</v>
      </c>
      <c r="I135" s="61">
        <v>0</v>
      </c>
      <c r="J135" s="61">
        <v>20000</v>
      </c>
      <c r="K135" s="61">
        <v>0</v>
      </c>
      <c r="L135" s="61">
        <v>0</v>
      </c>
      <c r="M135" s="61">
        <v>0</v>
      </c>
      <c r="N135" s="61">
        <v>0</v>
      </c>
      <c r="O135" s="61">
        <v>85250</v>
      </c>
      <c r="P135" s="61">
        <v>0</v>
      </c>
      <c r="Q135" s="61">
        <v>0</v>
      </c>
      <c r="R135" s="619">
        <v>105250</v>
      </c>
      <c r="S135" s="61">
        <v>0</v>
      </c>
      <c r="T135" s="61">
        <v>0</v>
      </c>
      <c r="U135" s="61">
        <v>2050000</v>
      </c>
      <c r="V135" s="61">
        <v>0</v>
      </c>
      <c r="W135" s="61">
        <v>0</v>
      </c>
      <c r="X135" s="61">
        <v>0</v>
      </c>
      <c r="Y135" s="61">
        <v>0</v>
      </c>
      <c r="Z135" s="61">
        <v>0</v>
      </c>
      <c r="AA135" s="61">
        <v>0</v>
      </c>
      <c r="AB135" s="61">
        <v>0</v>
      </c>
      <c r="AC135" s="61">
        <v>0</v>
      </c>
      <c r="AD135" s="619">
        <v>2050000</v>
      </c>
    </row>
    <row r="136" spans="1:30" s="334" customFormat="1" ht="72" x14ac:dyDescent="0.3">
      <c r="A136" s="1115"/>
      <c r="B136" s="327" t="s">
        <v>9</v>
      </c>
      <c r="C136" s="328" t="s">
        <v>319</v>
      </c>
      <c r="D136" s="80">
        <v>300000</v>
      </c>
      <c r="E136" s="80">
        <v>0</v>
      </c>
      <c r="F136" s="236">
        <v>300000</v>
      </c>
      <c r="G136" s="61">
        <v>0</v>
      </c>
      <c r="H136" s="61">
        <v>0</v>
      </c>
      <c r="I136" s="61">
        <v>0</v>
      </c>
      <c r="J136" s="61">
        <v>0</v>
      </c>
      <c r="K136" s="61">
        <v>0</v>
      </c>
      <c r="L136" s="61">
        <v>0</v>
      </c>
      <c r="M136" s="61">
        <v>45000</v>
      </c>
      <c r="N136" s="61">
        <v>45000</v>
      </c>
      <c r="O136" s="61">
        <v>45000</v>
      </c>
      <c r="P136" s="61">
        <v>15000</v>
      </c>
      <c r="Q136" s="61">
        <v>0</v>
      </c>
      <c r="R136" s="83">
        <v>150000</v>
      </c>
      <c r="S136" s="61">
        <v>0</v>
      </c>
      <c r="T136" s="61">
        <v>0</v>
      </c>
      <c r="U136" s="61">
        <v>45000</v>
      </c>
      <c r="V136" s="61">
        <v>0</v>
      </c>
      <c r="W136" s="61">
        <v>15000</v>
      </c>
      <c r="X136" s="61">
        <v>30000</v>
      </c>
      <c r="Y136" s="61">
        <v>15000</v>
      </c>
      <c r="Z136" s="61">
        <v>0</v>
      </c>
      <c r="AA136" s="61">
        <v>45000</v>
      </c>
      <c r="AB136" s="61">
        <v>0</v>
      </c>
      <c r="AC136" s="61">
        <v>0</v>
      </c>
      <c r="AD136" s="83">
        <v>150000</v>
      </c>
    </row>
    <row r="137" spans="1:30" s="67" customFormat="1" ht="30.75" customHeight="1" x14ac:dyDescent="0.3">
      <c r="A137" s="282" t="s">
        <v>835</v>
      </c>
      <c r="B137" s="284"/>
      <c r="C137" s="284"/>
      <c r="D137" s="284"/>
      <c r="E137" s="284"/>
      <c r="F137" s="326"/>
      <c r="G137" s="69"/>
      <c r="H137" s="69"/>
      <c r="I137" s="69"/>
      <c r="J137" s="69"/>
      <c r="K137" s="69"/>
      <c r="L137" s="69"/>
      <c r="M137" s="69"/>
      <c r="N137" s="69"/>
      <c r="O137" s="69"/>
      <c r="P137" s="69"/>
      <c r="Q137" s="69"/>
      <c r="R137" s="69"/>
      <c r="S137" s="69"/>
      <c r="T137" s="69"/>
      <c r="U137" s="69"/>
      <c r="V137" s="69"/>
      <c r="W137" s="69"/>
      <c r="X137" s="69"/>
      <c r="Y137" s="69"/>
      <c r="Z137" s="69"/>
      <c r="AA137" s="69"/>
      <c r="AB137" s="69"/>
      <c r="AC137" s="69"/>
      <c r="AD137" s="69"/>
    </row>
    <row r="138" spans="1:30" ht="39" customHeight="1" x14ac:dyDescent="0.3">
      <c r="A138" s="1075" t="s">
        <v>760</v>
      </c>
      <c r="B138" s="266"/>
      <c r="C138" s="301"/>
      <c r="D138" s="267">
        <v>2152500</v>
      </c>
      <c r="E138" s="267">
        <v>1763283.8199999998</v>
      </c>
      <c r="F138" s="267">
        <v>3915783.82</v>
      </c>
      <c r="G138" s="267">
        <v>0</v>
      </c>
      <c r="H138" s="267">
        <v>0</v>
      </c>
      <c r="I138" s="267">
        <v>0</v>
      </c>
      <c r="J138" s="267">
        <v>46000</v>
      </c>
      <c r="K138" s="267">
        <v>147000</v>
      </c>
      <c r="L138" s="267">
        <v>22000</v>
      </c>
      <c r="M138" s="267">
        <v>113000</v>
      </c>
      <c r="N138" s="267">
        <v>321000</v>
      </c>
      <c r="O138" s="267">
        <v>140500</v>
      </c>
      <c r="P138" s="267">
        <v>183500</v>
      </c>
      <c r="Q138" s="267">
        <v>119000</v>
      </c>
      <c r="R138" s="267">
        <v>1092000</v>
      </c>
      <c r="S138" s="267">
        <v>44000</v>
      </c>
      <c r="T138" s="267">
        <v>1018533.82</v>
      </c>
      <c r="U138" s="267">
        <v>164000</v>
      </c>
      <c r="V138" s="267">
        <v>735250</v>
      </c>
      <c r="W138" s="267">
        <v>140500</v>
      </c>
      <c r="X138" s="267">
        <v>139000</v>
      </c>
      <c r="Y138" s="267">
        <v>139000</v>
      </c>
      <c r="Z138" s="267">
        <v>121000</v>
      </c>
      <c r="AA138" s="267">
        <v>154500</v>
      </c>
      <c r="AB138" s="267">
        <v>99000</v>
      </c>
      <c r="AC138" s="267">
        <v>69000</v>
      </c>
      <c r="AD138" s="267">
        <v>2823783.82</v>
      </c>
    </row>
    <row r="139" spans="1:30" s="333" customFormat="1" ht="90" customHeight="1" x14ac:dyDescent="0.3">
      <c r="A139" s="1076"/>
      <c r="B139" s="316" t="s">
        <v>2</v>
      </c>
      <c r="C139" s="232" t="s">
        <v>314</v>
      </c>
      <c r="D139" s="80">
        <v>934000</v>
      </c>
      <c r="E139" s="80">
        <v>0</v>
      </c>
      <c r="F139" s="236">
        <v>934000</v>
      </c>
      <c r="G139" s="61">
        <v>0</v>
      </c>
      <c r="H139" s="61">
        <v>0</v>
      </c>
      <c r="I139" s="61">
        <v>0</v>
      </c>
      <c r="J139" s="61">
        <v>11000</v>
      </c>
      <c r="K139" s="61">
        <v>22000</v>
      </c>
      <c r="L139" s="61">
        <v>22000</v>
      </c>
      <c r="M139" s="61">
        <v>26000</v>
      </c>
      <c r="N139" s="61">
        <v>26000</v>
      </c>
      <c r="O139" s="61">
        <v>48000</v>
      </c>
      <c r="P139" s="61">
        <v>89000</v>
      </c>
      <c r="Q139" s="61">
        <v>44000</v>
      </c>
      <c r="R139" s="83">
        <v>288000</v>
      </c>
      <c r="S139" s="61">
        <v>44000</v>
      </c>
      <c r="T139" s="61">
        <v>46500</v>
      </c>
      <c r="U139" s="61">
        <v>44000</v>
      </c>
      <c r="V139" s="61">
        <v>46500</v>
      </c>
      <c r="W139" s="61">
        <v>44000</v>
      </c>
      <c r="X139" s="61">
        <v>71500</v>
      </c>
      <c r="Y139" s="61">
        <v>69000</v>
      </c>
      <c r="Z139" s="61">
        <v>71000</v>
      </c>
      <c r="AA139" s="61">
        <v>71500</v>
      </c>
      <c r="AB139" s="61">
        <v>69000</v>
      </c>
      <c r="AC139" s="61">
        <v>69000</v>
      </c>
      <c r="AD139" s="83">
        <v>646000</v>
      </c>
    </row>
    <row r="140" spans="1:30" s="333" customFormat="1" ht="124.2" customHeight="1" x14ac:dyDescent="0.3">
      <c r="A140" s="1076"/>
      <c r="B140" s="316" t="s">
        <v>3</v>
      </c>
      <c r="C140" s="232" t="s">
        <v>296</v>
      </c>
      <c r="D140" s="80">
        <v>1117500</v>
      </c>
      <c r="E140" s="80">
        <v>0</v>
      </c>
      <c r="F140" s="236">
        <v>1117500</v>
      </c>
      <c r="G140" s="61">
        <v>0</v>
      </c>
      <c r="H140" s="61">
        <v>0</v>
      </c>
      <c r="I140" s="61">
        <v>0</v>
      </c>
      <c r="J140" s="61">
        <v>35000</v>
      </c>
      <c r="K140" s="61">
        <v>125000</v>
      </c>
      <c r="L140" s="61">
        <v>0</v>
      </c>
      <c r="M140" s="61">
        <v>11000</v>
      </c>
      <c r="N140" s="61">
        <v>45000</v>
      </c>
      <c r="O140" s="61">
        <v>92500</v>
      </c>
      <c r="P140" s="61">
        <v>94500</v>
      </c>
      <c r="Q140" s="61">
        <v>75000</v>
      </c>
      <c r="R140" s="83">
        <v>478000</v>
      </c>
      <c r="S140" s="61">
        <v>0</v>
      </c>
      <c r="T140" s="61">
        <v>80000</v>
      </c>
      <c r="U140" s="61">
        <v>95000</v>
      </c>
      <c r="V140" s="61">
        <v>67500</v>
      </c>
      <c r="W140" s="61">
        <v>96500</v>
      </c>
      <c r="X140" s="61">
        <v>67500</v>
      </c>
      <c r="Y140" s="61">
        <v>70000</v>
      </c>
      <c r="Z140" s="61">
        <v>50000</v>
      </c>
      <c r="AA140" s="61">
        <v>83000</v>
      </c>
      <c r="AB140" s="61">
        <v>30000</v>
      </c>
      <c r="AC140" s="61">
        <v>0</v>
      </c>
      <c r="AD140" s="83">
        <v>639500</v>
      </c>
    </row>
    <row r="141" spans="1:30" s="333" customFormat="1" ht="72.599999999999994" customHeight="1" x14ac:dyDescent="0.3">
      <c r="A141" s="1076"/>
      <c r="B141" s="316" t="s">
        <v>4</v>
      </c>
      <c r="C141" s="232" t="s">
        <v>588</v>
      </c>
      <c r="D141" s="80"/>
      <c r="E141" s="80">
        <v>1763283.8199999998</v>
      </c>
      <c r="F141" s="236">
        <v>1763283.8199999998</v>
      </c>
      <c r="G141" s="61">
        <v>0</v>
      </c>
      <c r="H141" s="61">
        <v>0</v>
      </c>
      <c r="I141" s="61">
        <v>0</v>
      </c>
      <c r="J141" s="61">
        <v>0</v>
      </c>
      <c r="K141" s="61">
        <v>0</v>
      </c>
      <c r="L141" s="61">
        <v>0</v>
      </c>
      <c r="M141" s="61">
        <v>0</v>
      </c>
      <c r="N141" s="61">
        <v>250000</v>
      </c>
      <c r="O141" s="61">
        <v>0</v>
      </c>
      <c r="P141" s="61">
        <v>0</v>
      </c>
      <c r="Q141" s="61">
        <v>0</v>
      </c>
      <c r="R141" s="619">
        <v>250000</v>
      </c>
      <c r="S141" s="61">
        <v>0</v>
      </c>
      <c r="T141" s="61">
        <v>892033.82</v>
      </c>
      <c r="U141" s="61">
        <v>0</v>
      </c>
      <c r="V141" s="61">
        <v>621250</v>
      </c>
      <c r="W141" s="61">
        <v>0</v>
      </c>
      <c r="X141" s="61">
        <v>0</v>
      </c>
      <c r="Y141" s="61">
        <v>0</v>
      </c>
      <c r="Z141" s="61">
        <v>0</v>
      </c>
      <c r="AA141" s="61">
        <v>0</v>
      </c>
      <c r="AB141" s="61">
        <v>0</v>
      </c>
      <c r="AC141" s="61">
        <v>0</v>
      </c>
      <c r="AD141" s="619">
        <v>1513283.8199999998</v>
      </c>
    </row>
    <row r="142" spans="1:30" s="333" customFormat="1" ht="86.4" x14ac:dyDescent="0.3">
      <c r="A142" s="1077"/>
      <c r="B142" s="311" t="s">
        <v>8</v>
      </c>
      <c r="C142" s="273" t="s">
        <v>306</v>
      </c>
      <c r="D142" s="80">
        <v>101000</v>
      </c>
      <c r="E142" s="80">
        <v>0</v>
      </c>
      <c r="F142" s="236">
        <v>101000</v>
      </c>
      <c r="G142" s="61">
        <v>0</v>
      </c>
      <c r="H142" s="61">
        <v>0</v>
      </c>
      <c r="I142" s="61">
        <v>0</v>
      </c>
      <c r="J142" s="61">
        <v>0</v>
      </c>
      <c r="K142" s="61">
        <v>0</v>
      </c>
      <c r="L142" s="61">
        <v>0</v>
      </c>
      <c r="M142" s="61">
        <v>76000</v>
      </c>
      <c r="N142" s="61">
        <v>0</v>
      </c>
      <c r="O142" s="61">
        <v>0</v>
      </c>
      <c r="P142" s="61">
        <v>0</v>
      </c>
      <c r="Q142" s="61">
        <v>0</v>
      </c>
      <c r="R142" s="83">
        <v>76000</v>
      </c>
      <c r="S142" s="61">
        <v>0</v>
      </c>
      <c r="T142" s="61">
        <v>0</v>
      </c>
      <c r="U142" s="61">
        <v>25000</v>
      </c>
      <c r="V142" s="61">
        <v>0</v>
      </c>
      <c r="W142" s="61">
        <v>0</v>
      </c>
      <c r="X142" s="61">
        <v>0</v>
      </c>
      <c r="Y142" s="61">
        <v>0</v>
      </c>
      <c r="Z142" s="61">
        <v>0</v>
      </c>
      <c r="AA142" s="61">
        <v>0</v>
      </c>
      <c r="AB142" s="61">
        <v>0</v>
      </c>
      <c r="AC142" s="61">
        <v>0</v>
      </c>
      <c r="AD142" s="83">
        <v>25000</v>
      </c>
    </row>
    <row r="143" spans="1:30" ht="29.25" customHeight="1" x14ac:dyDescent="0.3">
      <c r="A143" s="332" t="s">
        <v>836</v>
      </c>
      <c r="B143" s="324"/>
      <c r="C143" s="324"/>
      <c r="D143" s="324"/>
      <c r="E143" s="324"/>
      <c r="F143" s="755"/>
      <c r="G143" s="212"/>
      <c r="H143" s="212"/>
      <c r="I143" s="212"/>
      <c r="J143" s="212"/>
      <c r="K143" s="212"/>
      <c r="L143" s="212"/>
      <c r="M143" s="212"/>
      <c r="N143" s="212"/>
      <c r="O143" s="212"/>
      <c r="P143" s="212"/>
      <c r="Q143" s="212"/>
      <c r="R143" s="213"/>
      <c r="S143" s="212"/>
      <c r="T143" s="212"/>
      <c r="U143" s="212"/>
      <c r="V143" s="212"/>
      <c r="W143" s="212"/>
      <c r="X143" s="212"/>
      <c r="Y143" s="212"/>
      <c r="Z143" s="212"/>
      <c r="AA143" s="212"/>
      <c r="AB143" s="212"/>
      <c r="AC143" s="212"/>
      <c r="AD143" s="213"/>
    </row>
    <row r="144" spans="1:30" ht="33" customHeight="1" x14ac:dyDescent="0.3">
      <c r="A144" s="331" t="s">
        <v>837</v>
      </c>
      <c r="B144" s="325"/>
      <c r="C144" s="325"/>
      <c r="D144" s="325"/>
      <c r="E144" s="325"/>
      <c r="F144" s="326"/>
      <c r="G144" s="69"/>
      <c r="H144" s="69"/>
      <c r="I144" s="69"/>
      <c r="J144" s="69"/>
      <c r="K144" s="69"/>
      <c r="L144" s="69"/>
      <c r="M144" s="69"/>
      <c r="N144" s="69"/>
      <c r="O144" s="69"/>
      <c r="P144" s="69"/>
      <c r="Q144" s="69"/>
      <c r="R144" s="69"/>
      <c r="S144" s="69"/>
      <c r="T144" s="69"/>
      <c r="U144" s="69"/>
      <c r="V144" s="69"/>
      <c r="W144" s="69"/>
      <c r="X144" s="69"/>
      <c r="Y144" s="69"/>
      <c r="Z144" s="69"/>
      <c r="AA144" s="69"/>
      <c r="AB144" s="69"/>
      <c r="AC144" s="69"/>
      <c r="AD144" s="69"/>
    </row>
    <row r="145" spans="1:30" ht="42.75" customHeight="1" x14ac:dyDescent="0.3">
      <c r="A145" s="1117" t="s">
        <v>724</v>
      </c>
      <c r="B145" s="266"/>
      <c r="C145" s="301"/>
      <c r="D145" s="267">
        <v>0</v>
      </c>
      <c r="E145" s="267">
        <v>550000</v>
      </c>
      <c r="F145" s="267">
        <v>550000</v>
      </c>
      <c r="G145" s="267">
        <v>0</v>
      </c>
      <c r="H145" s="267">
        <v>0</v>
      </c>
      <c r="I145" s="267">
        <v>0</v>
      </c>
      <c r="J145" s="267">
        <v>550000</v>
      </c>
      <c r="K145" s="267">
        <v>0</v>
      </c>
      <c r="L145" s="267">
        <v>0</v>
      </c>
      <c r="M145" s="267">
        <v>0</v>
      </c>
      <c r="N145" s="267">
        <v>0</v>
      </c>
      <c r="O145" s="267">
        <v>0</v>
      </c>
      <c r="P145" s="267">
        <v>0</v>
      </c>
      <c r="Q145" s="267">
        <v>0</v>
      </c>
      <c r="R145" s="267">
        <v>550000</v>
      </c>
      <c r="S145" s="267">
        <v>0</v>
      </c>
      <c r="T145" s="267">
        <v>0</v>
      </c>
      <c r="U145" s="267">
        <v>0</v>
      </c>
      <c r="V145" s="267">
        <v>0</v>
      </c>
      <c r="W145" s="267">
        <v>0</v>
      </c>
      <c r="X145" s="267">
        <v>0</v>
      </c>
      <c r="Y145" s="267">
        <v>0</v>
      </c>
      <c r="Z145" s="267">
        <v>0</v>
      </c>
      <c r="AA145" s="267">
        <v>0</v>
      </c>
      <c r="AB145" s="267">
        <v>0</v>
      </c>
      <c r="AC145" s="267">
        <v>0</v>
      </c>
      <c r="AD145" s="267">
        <v>0</v>
      </c>
    </row>
    <row r="146" spans="1:30" s="333" customFormat="1" ht="123.6" customHeight="1" x14ac:dyDescent="0.3">
      <c r="A146" s="1118"/>
      <c r="B146" s="327" t="s">
        <v>2</v>
      </c>
      <c r="C146" s="706" t="s">
        <v>712</v>
      </c>
      <c r="D146" s="80">
        <v>0</v>
      </c>
      <c r="E146" s="80">
        <v>550000</v>
      </c>
      <c r="F146" s="236">
        <v>550000</v>
      </c>
      <c r="G146" s="61">
        <v>0</v>
      </c>
      <c r="H146" s="61">
        <v>0</v>
      </c>
      <c r="I146" s="61">
        <v>0</v>
      </c>
      <c r="J146" s="61">
        <v>550000</v>
      </c>
      <c r="K146" s="61">
        <v>0</v>
      </c>
      <c r="L146" s="61">
        <v>0</v>
      </c>
      <c r="M146" s="61">
        <v>0</v>
      </c>
      <c r="N146" s="61">
        <v>0</v>
      </c>
      <c r="O146" s="61">
        <v>0</v>
      </c>
      <c r="P146" s="61">
        <v>0</v>
      </c>
      <c r="Q146" s="61">
        <v>0</v>
      </c>
      <c r="R146" s="619">
        <v>550000</v>
      </c>
      <c r="S146" s="61">
        <v>0</v>
      </c>
      <c r="T146" s="61">
        <v>0</v>
      </c>
      <c r="U146" s="61">
        <v>0</v>
      </c>
      <c r="V146" s="61">
        <v>0</v>
      </c>
      <c r="W146" s="61">
        <v>0</v>
      </c>
      <c r="X146" s="61">
        <v>0</v>
      </c>
      <c r="Y146" s="61">
        <v>0</v>
      </c>
      <c r="Z146" s="61">
        <v>0</v>
      </c>
      <c r="AA146" s="61">
        <v>0</v>
      </c>
      <c r="AB146" s="61">
        <v>0</v>
      </c>
      <c r="AC146" s="61">
        <v>0</v>
      </c>
      <c r="AD146" s="83">
        <v>0</v>
      </c>
    </row>
    <row r="147" spans="1:30" ht="42.75" customHeight="1" x14ac:dyDescent="0.3">
      <c r="A147" s="1075" t="s">
        <v>108</v>
      </c>
      <c r="B147" s="266"/>
      <c r="C147" s="301"/>
      <c r="D147" s="267">
        <v>135000</v>
      </c>
      <c r="E147" s="267">
        <v>1483200</v>
      </c>
      <c r="F147" s="267">
        <v>1618200</v>
      </c>
      <c r="G147" s="267">
        <v>0</v>
      </c>
      <c r="H147" s="267">
        <v>0</v>
      </c>
      <c r="I147" s="267">
        <v>0</v>
      </c>
      <c r="J147" s="267">
        <v>500000</v>
      </c>
      <c r="K147" s="267">
        <v>0</v>
      </c>
      <c r="L147" s="267">
        <v>0</v>
      </c>
      <c r="M147" s="267">
        <v>35000</v>
      </c>
      <c r="N147" s="267">
        <v>529400</v>
      </c>
      <c r="O147" s="267">
        <v>35000</v>
      </c>
      <c r="P147" s="267">
        <v>30000</v>
      </c>
      <c r="Q147" s="267">
        <v>0</v>
      </c>
      <c r="R147" s="267">
        <v>1129400</v>
      </c>
      <c r="S147" s="267">
        <v>0</v>
      </c>
      <c r="T147" s="267">
        <v>0</v>
      </c>
      <c r="U147" s="267">
        <v>488800</v>
      </c>
      <c r="V147" s="267">
        <v>0</v>
      </c>
      <c r="W147" s="267">
        <v>0</v>
      </c>
      <c r="X147" s="267">
        <v>0</v>
      </c>
      <c r="Y147" s="267">
        <v>0</v>
      </c>
      <c r="Z147" s="267">
        <v>0</v>
      </c>
      <c r="AA147" s="267">
        <v>0</v>
      </c>
      <c r="AB147" s="267">
        <v>0</v>
      </c>
      <c r="AC147" s="267">
        <v>0</v>
      </c>
      <c r="AD147" s="267">
        <v>488800</v>
      </c>
    </row>
    <row r="148" spans="1:30" s="333" customFormat="1" ht="132" customHeight="1" x14ac:dyDescent="0.3">
      <c r="A148" s="1076"/>
      <c r="B148" s="316" t="s">
        <v>2</v>
      </c>
      <c r="C148" s="274" t="s">
        <v>355</v>
      </c>
      <c r="D148" s="80">
        <v>135000</v>
      </c>
      <c r="E148" s="80">
        <v>0</v>
      </c>
      <c r="F148" s="236">
        <v>135000</v>
      </c>
      <c r="G148" s="61">
        <v>0</v>
      </c>
      <c r="H148" s="61">
        <v>0</v>
      </c>
      <c r="I148" s="61">
        <v>0</v>
      </c>
      <c r="J148" s="61">
        <v>0</v>
      </c>
      <c r="K148" s="61">
        <v>0</v>
      </c>
      <c r="L148" s="61">
        <v>0</v>
      </c>
      <c r="M148" s="61">
        <v>35000</v>
      </c>
      <c r="N148" s="61">
        <v>35000</v>
      </c>
      <c r="O148" s="61">
        <v>35000</v>
      </c>
      <c r="P148" s="61">
        <v>30000</v>
      </c>
      <c r="Q148" s="61">
        <v>0</v>
      </c>
      <c r="R148" s="83">
        <v>135000</v>
      </c>
      <c r="S148" s="61">
        <v>0</v>
      </c>
      <c r="T148" s="61">
        <v>0</v>
      </c>
      <c r="U148" s="61">
        <v>0</v>
      </c>
      <c r="V148" s="61">
        <v>0</v>
      </c>
      <c r="W148" s="61">
        <v>0</v>
      </c>
      <c r="X148" s="61">
        <v>0</v>
      </c>
      <c r="Y148" s="61">
        <v>0</v>
      </c>
      <c r="Z148" s="61">
        <v>0</v>
      </c>
      <c r="AA148" s="61">
        <v>0</v>
      </c>
      <c r="AB148" s="61">
        <v>0</v>
      </c>
      <c r="AC148" s="61">
        <v>0</v>
      </c>
      <c r="AD148" s="83">
        <v>0</v>
      </c>
    </row>
    <row r="149" spans="1:30" s="333" customFormat="1" ht="138.6" customHeight="1" x14ac:dyDescent="0.3">
      <c r="A149" s="1077"/>
      <c r="B149" s="316" t="s">
        <v>3</v>
      </c>
      <c r="C149" s="274" t="s">
        <v>356</v>
      </c>
      <c r="D149" s="80"/>
      <c r="E149" s="80">
        <v>1483200</v>
      </c>
      <c r="F149" s="236">
        <v>1483200</v>
      </c>
      <c r="G149" s="61">
        <v>0</v>
      </c>
      <c r="H149" s="61">
        <v>0</v>
      </c>
      <c r="I149" s="61">
        <v>0</v>
      </c>
      <c r="J149" s="61">
        <v>500000</v>
      </c>
      <c r="K149" s="61">
        <v>0</v>
      </c>
      <c r="L149" s="61">
        <v>0</v>
      </c>
      <c r="M149" s="61">
        <v>0</v>
      </c>
      <c r="N149" s="61">
        <v>494400</v>
      </c>
      <c r="O149" s="61">
        <v>0</v>
      </c>
      <c r="P149" s="61">
        <v>0</v>
      </c>
      <c r="Q149" s="61">
        <v>0</v>
      </c>
      <c r="R149" s="619">
        <v>994400</v>
      </c>
      <c r="S149" s="61">
        <v>0</v>
      </c>
      <c r="T149" s="61">
        <v>0</v>
      </c>
      <c r="U149" s="61">
        <v>488800</v>
      </c>
      <c r="V149" s="61">
        <v>0</v>
      </c>
      <c r="W149" s="61">
        <v>0</v>
      </c>
      <c r="X149" s="61">
        <v>0</v>
      </c>
      <c r="Y149" s="61">
        <v>0</v>
      </c>
      <c r="Z149" s="61">
        <v>0</v>
      </c>
      <c r="AA149" s="61">
        <v>0</v>
      </c>
      <c r="AB149" s="61">
        <v>0</v>
      </c>
      <c r="AC149" s="61">
        <v>0</v>
      </c>
      <c r="AD149" s="619">
        <v>488800</v>
      </c>
    </row>
    <row r="150" spans="1:30" ht="46.5" customHeight="1" x14ac:dyDescent="0.3">
      <c r="A150" s="1075" t="s">
        <v>731</v>
      </c>
      <c r="B150" s="266"/>
      <c r="C150" s="301"/>
      <c r="D150" s="267">
        <v>1625509.65</v>
      </c>
      <c r="E150" s="267">
        <v>2468220</v>
      </c>
      <c r="F150" s="267">
        <v>4093729.65</v>
      </c>
      <c r="G150" s="267">
        <v>0</v>
      </c>
      <c r="H150" s="267">
        <v>0</v>
      </c>
      <c r="I150" s="267">
        <v>0</v>
      </c>
      <c r="J150" s="267">
        <v>137000</v>
      </c>
      <c r="K150" s="267">
        <v>22000</v>
      </c>
      <c r="L150" s="267">
        <v>22000</v>
      </c>
      <c r="M150" s="267">
        <v>172000</v>
      </c>
      <c r="N150" s="267">
        <v>451000</v>
      </c>
      <c r="O150" s="267">
        <v>177000</v>
      </c>
      <c r="P150" s="267">
        <v>122000</v>
      </c>
      <c r="Q150" s="267">
        <v>47000</v>
      </c>
      <c r="R150" s="267">
        <v>1150000</v>
      </c>
      <c r="S150" s="267">
        <v>22000</v>
      </c>
      <c r="T150" s="267">
        <v>22000</v>
      </c>
      <c r="U150" s="267">
        <v>93000</v>
      </c>
      <c r="V150" s="267">
        <v>1812220</v>
      </c>
      <c r="W150" s="267">
        <v>502000</v>
      </c>
      <c r="X150" s="267">
        <v>143000</v>
      </c>
      <c r="Y150" s="267">
        <v>93000</v>
      </c>
      <c r="Z150" s="267">
        <v>120509.65</v>
      </c>
      <c r="AA150" s="267">
        <v>67000</v>
      </c>
      <c r="AB150" s="267">
        <v>47000</v>
      </c>
      <c r="AC150" s="267">
        <v>22000</v>
      </c>
      <c r="AD150" s="267">
        <v>2943729.65</v>
      </c>
    </row>
    <row r="151" spans="1:30" s="333" customFormat="1" ht="135" customHeight="1" x14ac:dyDescent="0.3">
      <c r="A151" s="1076"/>
      <c r="B151" s="316" t="s">
        <v>2</v>
      </c>
      <c r="C151" s="245" t="s">
        <v>735</v>
      </c>
      <c r="D151" s="80">
        <v>1225509.6499999999</v>
      </c>
      <c r="E151" s="80">
        <v>0</v>
      </c>
      <c r="F151" s="236">
        <v>1225509.6499999999</v>
      </c>
      <c r="G151" s="61">
        <v>0</v>
      </c>
      <c r="H151" s="61">
        <v>0</v>
      </c>
      <c r="I151" s="61">
        <v>0</v>
      </c>
      <c r="J151" s="61">
        <v>11000</v>
      </c>
      <c r="K151" s="61">
        <v>22000</v>
      </c>
      <c r="L151" s="61">
        <v>22000</v>
      </c>
      <c r="M151" s="61">
        <v>132000</v>
      </c>
      <c r="N151" s="61">
        <v>92000</v>
      </c>
      <c r="O151" s="61">
        <v>152000</v>
      </c>
      <c r="P151" s="61">
        <v>97000</v>
      </c>
      <c r="Q151" s="61">
        <v>22000</v>
      </c>
      <c r="R151" s="83">
        <v>550000</v>
      </c>
      <c r="S151" s="61">
        <v>22000</v>
      </c>
      <c r="T151" s="61">
        <v>22000</v>
      </c>
      <c r="U151" s="61">
        <v>68000</v>
      </c>
      <c r="V151" s="61">
        <v>128000</v>
      </c>
      <c r="W151" s="61">
        <v>68000</v>
      </c>
      <c r="X151" s="61">
        <v>118000</v>
      </c>
      <c r="Y151" s="61">
        <v>68000</v>
      </c>
      <c r="Z151" s="61">
        <v>95509.65</v>
      </c>
      <c r="AA151" s="61">
        <v>42000</v>
      </c>
      <c r="AB151" s="61">
        <v>22000</v>
      </c>
      <c r="AC151" s="61">
        <v>22000</v>
      </c>
      <c r="AD151" s="83">
        <v>675509.65</v>
      </c>
    </row>
    <row r="152" spans="1:30" s="334" customFormat="1" ht="84.6" customHeight="1" x14ac:dyDescent="0.3">
      <c r="A152" s="1076"/>
      <c r="B152" s="316" t="s">
        <v>3</v>
      </c>
      <c r="C152" s="232" t="s">
        <v>557</v>
      </c>
      <c r="D152" s="80"/>
      <c r="E152" s="80">
        <v>2468220</v>
      </c>
      <c r="F152" s="236">
        <v>2468220</v>
      </c>
      <c r="G152" s="61">
        <v>0</v>
      </c>
      <c r="H152" s="61">
        <v>0</v>
      </c>
      <c r="I152" s="61">
        <v>0</v>
      </c>
      <c r="J152" s="61">
        <v>66000</v>
      </c>
      <c r="K152" s="61">
        <v>0</v>
      </c>
      <c r="L152" s="61">
        <v>0</v>
      </c>
      <c r="M152" s="61">
        <v>0</v>
      </c>
      <c r="N152" s="61">
        <v>334000</v>
      </c>
      <c r="O152" s="61">
        <v>0</v>
      </c>
      <c r="P152" s="61">
        <v>0</v>
      </c>
      <c r="Q152" s="61">
        <v>0</v>
      </c>
      <c r="R152" s="619">
        <v>400000</v>
      </c>
      <c r="S152" s="61">
        <v>0</v>
      </c>
      <c r="T152" s="61">
        <v>0</v>
      </c>
      <c r="U152" s="61">
        <v>0</v>
      </c>
      <c r="V152" s="61">
        <v>1659220</v>
      </c>
      <c r="W152" s="61">
        <v>409000</v>
      </c>
      <c r="X152" s="61">
        <v>0</v>
      </c>
      <c r="Y152" s="61">
        <v>0</v>
      </c>
      <c r="Z152" s="61">
        <v>0</v>
      </c>
      <c r="AA152" s="61">
        <v>0</v>
      </c>
      <c r="AB152" s="61">
        <v>0</v>
      </c>
      <c r="AC152" s="61">
        <v>0</v>
      </c>
      <c r="AD152" s="619">
        <v>2068220</v>
      </c>
    </row>
    <row r="153" spans="1:30" s="334" customFormat="1" ht="91.2" customHeight="1" x14ac:dyDescent="0.3">
      <c r="A153" s="1077"/>
      <c r="B153" s="316" t="s">
        <v>4</v>
      </c>
      <c r="C153" s="232" t="s">
        <v>736</v>
      </c>
      <c r="D153" s="80">
        <v>400000</v>
      </c>
      <c r="E153" s="80">
        <v>0</v>
      </c>
      <c r="F153" s="236">
        <v>400000</v>
      </c>
      <c r="G153" s="61">
        <v>0</v>
      </c>
      <c r="H153" s="61">
        <v>0</v>
      </c>
      <c r="I153" s="61">
        <v>0</v>
      </c>
      <c r="J153" s="61">
        <v>60000</v>
      </c>
      <c r="K153" s="61">
        <v>0</v>
      </c>
      <c r="L153" s="61">
        <v>0</v>
      </c>
      <c r="M153" s="61">
        <v>40000</v>
      </c>
      <c r="N153" s="61">
        <v>25000</v>
      </c>
      <c r="O153" s="61">
        <v>25000</v>
      </c>
      <c r="P153" s="61">
        <v>25000</v>
      </c>
      <c r="Q153" s="61">
        <v>25000</v>
      </c>
      <c r="R153" s="83">
        <v>200000</v>
      </c>
      <c r="S153" s="61">
        <v>0</v>
      </c>
      <c r="T153" s="61">
        <v>0</v>
      </c>
      <c r="U153" s="61">
        <v>25000</v>
      </c>
      <c r="V153" s="61">
        <v>25000</v>
      </c>
      <c r="W153" s="61">
        <v>25000</v>
      </c>
      <c r="X153" s="61">
        <v>25000</v>
      </c>
      <c r="Y153" s="61">
        <v>25000</v>
      </c>
      <c r="Z153" s="61">
        <v>25000</v>
      </c>
      <c r="AA153" s="61">
        <v>25000</v>
      </c>
      <c r="AB153" s="61">
        <v>25000</v>
      </c>
      <c r="AC153" s="61">
        <v>0</v>
      </c>
      <c r="AD153" s="83">
        <v>200000</v>
      </c>
    </row>
    <row r="154" spans="1:30" ht="42.75" customHeight="1" x14ac:dyDescent="0.3">
      <c r="A154" s="1075" t="s">
        <v>322</v>
      </c>
      <c r="B154" s="266"/>
      <c r="C154" s="301"/>
      <c r="D154" s="267">
        <v>400000</v>
      </c>
      <c r="E154" s="267">
        <v>0</v>
      </c>
      <c r="F154" s="267">
        <v>400000</v>
      </c>
      <c r="G154" s="267">
        <v>0</v>
      </c>
      <c r="H154" s="267">
        <v>0</v>
      </c>
      <c r="I154" s="267">
        <v>0</v>
      </c>
      <c r="J154" s="267">
        <v>0</v>
      </c>
      <c r="K154" s="267">
        <v>0</v>
      </c>
      <c r="L154" s="267">
        <v>0</v>
      </c>
      <c r="M154" s="267">
        <v>0</v>
      </c>
      <c r="N154" s="267">
        <v>0</v>
      </c>
      <c r="O154" s="267">
        <v>1353.5</v>
      </c>
      <c r="P154" s="267">
        <v>28000</v>
      </c>
      <c r="Q154" s="267">
        <v>25000</v>
      </c>
      <c r="R154" s="267">
        <v>54353.5</v>
      </c>
      <c r="S154" s="267">
        <v>0</v>
      </c>
      <c r="T154" s="267">
        <v>42000</v>
      </c>
      <c r="U154" s="267">
        <v>42000</v>
      </c>
      <c r="V154" s="267">
        <v>42000</v>
      </c>
      <c r="W154" s="267">
        <v>42000</v>
      </c>
      <c r="X154" s="267">
        <v>42000</v>
      </c>
      <c r="Y154" s="267">
        <v>27000</v>
      </c>
      <c r="Z154" s="267">
        <v>27000</v>
      </c>
      <c r="AA154" s="267">
        <v>27646.5</v>
      </c>
      <c r="AB154" s="267">
        <v>29000</v>
      </c>
      <c r="AC154" s="267">
        <v>25000</v>
      </c>
      <c r="AD154" s="267">
        <v>345646.5</v>
      </c>
    </row>
    <row r="155" spans="1:30" s="333" customFormat="1" ht="67.95" customHeight="1" x14ac:dyDescent="0.3">
      <c r="A155" s="1076"/>
      <c r="B155" s="311" t="s">
        <v>2</v>
      </c>
      <c r="C155" s="274" t="s">
        <v>323</v>
      </c>
      <c r="D155" s="80">
        <v>25000</v>
      </c>
      <c r="E155" s="80">
        <v>0</v>
      </c>
      <c r="F155" s="236">
        <v>25000</v>
      </c>
      <c r="G155" s="61">
        <v>0</v>
      </c>
      <c r="H155" s="61">
        <v>0</v>
      </c>
      <c r="I155" s="61">
        <v>0</v>
      </c>
      <c r="J155" s="61">
        <v>0</v>
      </c>
      <c r="K155" s="61">
        <v>0</v>
      </c>
      <c r="L155" s="61">
        <v>0</v>
      </c>
      <c r="M155" s="61">
        <v>0</v>
      </c>
      <c r="N155" s="61">
        <v>0</v>
      </c>
      <c r="O155" s="61">
        <v>1353.5</v>
      </c>
      <c r="P155" s="61">
        <v>3000</v>
      </c>
      <c r="Q155" s="61">
        <v>0</v>
      </c>
      <c r="R155" s="83">
        <v>4353.5</v>
      </c>
      <c r="S155" s="61">
        <v>0</v>
      </c>
      <c r="T155" s="61">
        <v>2000</v>
      </c>
      <c r="U155" s="61">
        <v>2000</v>
      </c>
      <c r="V155" s="61">
        <v>2000</v>
      </c>
      <c r="W155" s="61">
        <v>2000</v>
      </c>
      <c r="X155" s="61">
        <v>2000</v>
      </c>
      <c r="Y155" s="61">
        <v>2000</v>
      </c>
      <c r="Z155" s="61">
        <v>2000</v>
      </c>
      <c r="AA155" s="61">
        <v>2646.5</v>
      </c>
      <c r="AB155" s="61">
        <v>4000</v>
      </c>
      <c r="AC155" s="61">
        <v>0</v>
      </c>
      <c r="AD155" s="83">
        <v>20646.5</v>
      </c>
    </row>
    <row r="156" spans="1:30" s="334" customFormat="1" ht="107.4" customHeight="1" x14ac:dyDescent="0.3">
      <c r="A156" s="1077"/>
      <c r="B156" s="311" t="s">
        <v>3</v>
      </c>
      <c r="C156" s="274" t="s">
        <v>559</v>
      </c>
      <c r="D156" s="23">
        <v>375000</v>
      </c>
      <c r="E156" s="23">
        <v>0</v>
      </c>
      <c r="F156" s="74">
        <v>375000</v>
      </c>
      <c r="G156" s="81">
        <v>0</v>
      </c>
      <c r="H156" s="81">
        <v>0</v>
      </c>
      <c r="I156" s="81">
        <v>0</v>
      </c>
      <c r="J156" s="81">
        <v>0</v>
      </c>
      <c r="K156" s="81">
        <v>0</v>
      </c>
      <c r="L156" s="81">
        <v>0</v>
      </c>
      <c r="M156" s="81">
        <v>0</v>
      </c>
      <c r="N156" s="81">
        <v>0</v>
      </c>
      <c r="O156" s="81">
        <v>0</v>
      </c>
      <c r="P156" s="81">
        <v>25000</v>
      </c>
      <c r="Q156" s="81">
        <v>25000</v>
      </c>
      <c r="R156" s="82">
        <v>50000</v>
      </c>
      <c r="S156" s="81">
        <v>0</v>
      </c>
      <c r="T156" s="81">
        <v>40000</v>
      </c>
      <c r="U156" s="81">
        <v>40000</v>
      </c>
      <c r="V156" s="81">
        <v>40000</v>
      </c>
      <c r="W156" s="81">
        <v>40000</v>
      </c>
      <c r="X156" s="81">
        <v>40000</v>
      </c>
      <c r="Y156" s="81">
        <v>25000</v>
      </c>
      <c r="Z156" s="81">
        <v>25000</v>
      </c>
      <c r="AA156" s="81">
        <v>25000</v>
      </c>
      <c r="AB156" s="81">
        <v>25000</v>
      </c>
      <c r="AC156" s="81">
        <v>25000</v>
      </c>
      <c r="AD156" s="82">
        <v>325000</v>
      </c>
    </row>
    <row r="157" spans="1:30" s="89" customFormat="1" ht="28.5" customHeight="1" x14ac:dyDescent="0.3">
      <c r="A157" s="768" t="s">
        <v>0</v>
      </c>
      <c r="B157" s="87"/>
      <c r="C157" s="127"/>
      <c r="D157" s="128">
        <f>+D159</f>
        <v>2921640.6</v>
      </c>
      <c r="E157" s="128">
        <f t="shared" ref="E157:AD157" si="21">+E159</f>
        <v>0</v>
      </c>
      <c r="F157" s="128">
        <f t="shared" si="21"/>
        <v>2921640.6</v>
      </c>
      <c r="G157" s="128">
        <f t="shared" si="21"/>
        <v>85567.06</v>
      </c>
      <c r="H157" s="128">
        <f t="shared" si="21"/>
        <v>114755.89</v>
      </c>
      <c r="I157" s="128">
        <f t="shared" si="21"/>
        <v>208414.6</v>
      </c>
      <c r="J157" s="128">
        <f t="shared" si="21"/>
        <v>136974</v>
      </c>
      <c r="K157" s="128">
        <f t="shared" si="21"/>
        <v>90974</v>
      </c>
      <c r="L157" s="128">
        <f t="shared" si="21"/>
        <v>117974</v>
      </c>
      <c r="M157" s="128">
        <f t="shared" si="21"/>
        <v>96274</v>
      </c>
      <c r="N157" s="128">
        <f t="shared" si="21"/>
        <v>174201.09</v>
      </c>
      <c r="O157" s="128">
        <f t="shared" si="21"/>
        <v>119274</v>
      </c>
      <c r="P157" s="128">
        <f t="shared" si="21"/>
        <v>155626.04999999999</v>
      </c>
      <c r="Q157" s="128">
        <f t="shared" si="21"/>
        <v>145816.91</v>
      </c>
      <c r="R157" s="128">
        <f t="shared" si="21"/>
        <v>1445851.6</v>
      </c>
      <c r="S157" s="128">
        <f t="shared" si="21"/>
        <v>79399</v>
      </c>
      <c r="T157" s="128">
        <f t="shared" si="21"/>
        <v>216399</v>
      </c>
      <c r="U157" s="128">
        <f t="shared" si="21"/>
        <v>124399</v>
      </c>
      <c r="V157" s="128">
        <f t="shared" si="21"/>
        <v>104399</v>
      </c>
      <c r="W157" s="128">
        <f t="shared" si="21"/>
        <v>158799</v>
      </c>
      <c r="X157" s="128">
        <f t="shared" si="21"/>
        <v>114399</v>
      </c>
      <c r="Y157" s="128">
        <f t="shared" si="21"/>
        <v>124399</v>
      </c>
      <c r="Z157" s="128">
        <f t="shared" si="21"/>
        <v>138399</v>
      </c>
      <c r="AA157" s="128">
        <f t="shared" si="21"/>
        <v>128399</v>
      </c>
      <c r="AB157" s="128">
        <f t="shared" si="21"/>
        <v>165399</v>
      </c>
      <c r="AC157" s="128">
        <f t="shared" si="21"/>
        <v>121399</v>
      </c>
      <c r="AD157" s="128">
        <f t="shared" si="21"/>
        <v>1475789</v>
      </c>
    </row>
    <row r="158" spans="1:30" s="4" customFormat="1" x14ac:dyDescent="0.3">
      <c r="A158" s="769" t="s">
        <v>1</v>
      </c>
      <c r="B158" s="769"/>
      <c r="C158" s="2"/>
      <c r="D158" s="65" t="e">
        <f>+S158+#REF!</f>
        <v>#REF!</v>
      </c>
      <c r="E158" s="65" t="e">
        <f>+T158+D158</f>
        <v>#REF!</v>
      </c>
      <c r="F158" s="56" t="e">
        <f>+D158+E158</f>
        <v>#REF!</v>
      </c>
      <c r="G158" s="68"/>
      <c r="H158" s="68"/>
      <c r="I158" s="68"/>
      <c r="J158" s="68"/>
      <c r="K158" s="68"/>
      <c r="L158" s="68"/>
      <c r="M158" s="68"/>
      <c r="N158" s="68"/>
      <c r="O158" s="68"/>
      <c r="P158" s="68"/>
      <c r="Q158" s="68"/>
      <c r="R158" s="56"/>
      <c r="S158" s="93"/>
      <c r="T158" s="68"/>
      <c r="U158" s="68"/>
      <c r="V158" s="68"/>
      <c r="W158" s="68"/>
      <c r="X158" s="68"/>
      <c r="Y158" s="68"/>
      <c r="Z158" s="68"/>
      <c r="AA158" s="68"/>
      <c r="AB158" s="68"/>
      <c r="AC158" s="68"/>
      <c r="AD158" s="56"/>
    </row>
    <row r="159" spans="1:30" x14ac:dyDescent="0.3">
      <c r="A159" s="1112" t="s">
        <v>386</v>
      </c>
      <c r="B159" s="1112"/>
      <c r="C159" s="1112"/>
      <c r="D159" s="69">
        <f>+D160</f>
        <v>2921640.6</v>
      </c>
      <c r="E159" s="69">
        <f t="shared" ref="E159:AD159" si="22">+E160</f>
        <v>0</v>
      </c>
      <c r="F159" s="69">
        <f t="shared" si="22"/>
        <v>2921640.6</v>
      </c>
      <c r="G159" s="69">
        <f t="shared" si="22"/>
        <v>85567.06</v>
      </c>
      <c r="H159" s="69">
        <f t="shared" si="22"/>
        <v>114755.89</v>
      </c>
      <c r="I159" s="69">
        <f t="shared" si="22"/>
        <v>208414.6</v>
      </c>
      <c r="J159" s="69">
        <f t="shared" si="22"/>
        <v>136974</v>
      </c>
      <c r="K159" s="69">
        <f t="shared" si="22"/>
        <v>90974</v>
      </c>
      <c r="L159" s="69">
        <f t="shared" si="22"/>
        <v>117974</v>
      </c>
      <c r="M159" s="69">
        <f t="shared" si="22"/>
        <v>96274</v>
      </c>
      <c r="N159" s="69">
        <f t="shared" si="22"/>
        <v>174201.09</v>
      </c>
      <c r="O159" s="69">
        <f t="shared" si="22"/>
        <v>119274</v>
      </c>
      <c r="P159" s="69">
        <f t="shared" si="22"/>
        <v>155626.04999999999</v>
      </c>
      <c r="Q159" s="69">
        <f t="shared" si="22"/>
        <v>145816.91</v>
      </c>
      <c r="R159" s="69">
        <f t="shared" si="22"/>
        <v>1445851.6</v>
      </c>
      <c r="S159" s="69">
        <f t="shared" si="22"/>
        <v>79399</v>
      </c>
      <c r="T159" s="69">
        <f t="shared" si="22"/>
        <v>216399</v>
      </c>
      <c r="U159" s="69">
        <f t="shared" si="22"/>
        <v>124399</v>
      </c>
      <c r="V159" s="69">
        <f t="shared" si="22"/>
        <v>104399</v>
      </c>
      <c r="W159" s="69">
        <f t="shared" si="22"/>
        <v>158799</v>
      </c>
      <c r="X159" s="69">
        <f t="shared" si="22"/>
        <v>114399</v>
      </c>
      <c r="Y159" s="69">
        <f t="shared" si="22"/>
        <v>124399</v>
      </c>
      <c r="Z159" s="69">
        <f t="shared" si="22"/>
        <v>138399</v>
      </c>
      <c r="AA159" s="69">
        <f t="shared" si="22"/>
        <v>128399</v>
      </c>
      <c r="AB159" s="69">
        <f t="shared" si="22"/>
        <v>165399</v>
      </c>
      <c r="AC159" s="69">
        <f t="shared" si="22"/>
        <v>121399</v>
      </c>
      <c r="AD159" s="69">
        <f t="shared" si="22"/>
        <v>1475789</v>
      </c>
    </row>
    <row r="160" spans="1:30" x14ac:dyDescent="0.3">
      <c r="A160" s="50"/>
      <c r="B160" s="45"/>
      <c r="C160" s="105"/>
      <c r="D160" s="71">
        <f>+D161+D165+D171+D177+D180</f>
        <v>2921640.6</v>
      </c>
      <c r="E160" s="71">
        <f>+E161+E165+E171+E177+E180</f>
        <v>0</v>
      </c>
      <c r="F160" s="71">
        <f t="shared" ref="F160:F192" si="23">+D160+E160</f>
        <v>2921640.6</v>
      </c>
      <c r="G160" s="71">
        <f>+G161+G165+G171+G177+G180</f>
        <v>85567.06</v>
      </c>
      <c r="H160" s="71">
        <f t="shared" ref="H160:AD160" si="24">+H161+H165+H171+H177+H180</f>
        <v>114755.89</v>
      </c>
      <c r="I160" s="71">
        <f t="shared" si="24"/>
        <v>208414.6</v>
      </c>
      <c r="J160" s="71">
        <f t="shared" si="24"/>
        <v>136974</v>
      </c>
      <c r="K160" s="71">
        <f t="shared" si="24"/>
        <v>90974</v>
      </c>
      <c r="L160" s="71">
        <f t="shared" si="24"/>
        <v>117974</v>
      </c>
      <c r="M160" s="71">
        <f t="shared" si="24"/>
        <v>96274</v>
      </c>
      <c r="N160" s="71">
        <f t="shared" si="24"/>
        <v>174201.09</v>
      </c>
      <c r="O160" s="71">
        <f t="shared" si="24"/>
        <v>119274</v>
      </c>
      <c r="P160" s="71">
        <f t="shared" si="24"/>
        <v>155626.04999999999</v>
      </c>
      <c r="Q160" s="71">
        <f t="shared" si="24"/>
        <v>145816.91</v>
      </c>
      <c r="R160" s="71">
        <f t="shared" si="24"/>
        <v>1445851.6</v>
      </c>
      <c r="S160" s="95">
        <f t="shared" si="24"/>
        <v>79399</v>
      </c>
      <c r="T160" s="71">
        <f t="shared" si="24"/>
        <v>216399</v>
      </c>
      <c r="U160" s="71">
        <f t="shared" si="24"/>
        <v>124399</v>
      </c>
      <c r="V160" s="71">
        <f t="shared" si="24"/>
        <v>104399</v>
      </c>
      <c r="W160" s="71">
        <f t="shared" si="24"/>
        <v>158799</v>
      </c>
      <c r="X160" s="71">
        <f t="shared" si="24"/>
        <v>114399</v>
      </c>
      <c r="Y160" s="71">
        <f t="shared" si="24"/>
        <v>124399</v>
      </c>
      <c r="Z160" s="71">
        <f t="shared" si="24"/>
        <v>138399</v>
      </c>
      <c r="AA160" s="71">
        <f t="shared" si="24"/>
        <v>128399</v>
      </c>
      <c r="AB160" s="71">
        <f t="shared" si="24"/>
        <v>165399</v>
      </c>
      <c r="AC160" s="71">
        <f t="shared" si="24"/>
        <v>121399</v>
      </c>
      <c r="AD160" s="71">
        <f t="shared" si="24"/>
        <v>1475789</v>
      </c>
    </row>
    <row r="161" spans="1:30" x14ac:dyDescent="0.3">
      <c r="A161" s="1075" t="s">
        <v>5</v>
      </c>
      <c r="B161" s="43"/>
      <c r="C161" s="106"/>
      <c r="D161" s="75">
        <f>SUM(D162:D164)</f>
        <v>869000</v>
      </c>
      <c r="E161" s="75">
        <f>SUM(E162:E163)</f>
        <v>0</v>
      </c>
      <c r="F161" s="75">
        <f t="shared" si="23"/>
        <v>869000</v>
      </c>
      <c r="G161" s="75">
        <f>SUM(G162:G164)</f>
        <v>39500</v>
      </c>
      <c r="H161" s="75">
        <f t="shared" ref="H161:AD161" si="25">SUM(H162:H164)</f>
        <v>39500</v>
      </c>
      <c r="I161" s="75">
        <f t="shared" si="25"/>
        <v>39500</v>
      </c>
      <c r="J161" s="75">
        <f t="shared" si="25"/>
        <v>39500</v>
      </c>
      <c r="K161" s="75">
        <f t="shared" si="25"/>
        <v>39500</v>
      </c>
      <c r="L161" s="75">
        <f t="shared" si="25"/>
        <v>39500</v>
      </c>
      <c r="M161" s="75">
        <f t="shared" si="25"/>
        <v>39500</v>
      </c>
      <c r="N161" s="75">
        <f t="shared" si="25"/>
        <v>39500</v>
      </c>
      <c r="O161" s="75">
        <f t="shared" si="25"/>
        <v>39500</v>
      </c>
      <c r="P161" s="75">
        <f t="shared" si="25"/>
        <v>39500</v>
      </c>
      <c r="Q161" s="75">
        <f t="shared" si="25"/>
        <v>39500</v>
      </c>
      <c r="R161" s="75">
        <f t="shared" si="25"/>
        <v>434500</v>
      </c>
      <c r="S161" s="75">
        <f t="shared" si="25"/>
        <v>39500</v>
      </c>
      <c r="T161" s="75">
        <f t="shared" si="25"/>
        <v>39500</v>
      </c>
      <c r="U161" s="75">
        <f t="shared" si="25"/>
        <v>39500</v>
      </c>
      <c r="V161" s="75">
        <f t="shared" si="25"/>
        <v>39500</v>
      </c>
      <c r="W161" s="75">
        <f t="shared" si="25"/>
        <v>39500</v>
      </c>
      <c r="X161" s="75">
        <f t="shared" si="25"/>
        <v>39500</v>
      </c>
      <c r="Y161" s="75">
        <f t="shared" si="25"/>
        <v>39500</v>
      </c>
      <c r="Z161" s="75">
        <f t="shared" si="25"/>
        <v>39500</v>
      </c>
      <c r="AA161" s="75">
        <f t="shared" si="25"/>
        <v>39500</v>
      </c>
      <c r="AB161" s="75">
        <f t="shared" si="25"/>
        <v>39500</v>
      </c>
      <c r="AC161" s="75">
        <f t="shared" si="25"/>
        <v>39500</v>
      </c>
      <c r="AD161" s="75">
        <f t="shared" si="25"/>
        <v>434500</v>
      </c>
    </row>
    <row r="162" spans="1:30" s="4" customFormat="1" x14ac:dyDescent="0.3">
      <c r="A162" s="1076"/>
      <c r="B162" s="774" t="s">
        <v>2</v>
      </c>
      <c r="C162" s="2" t="s">
        <v>81</v>
      </c>
      <c r="D162" s="23">
        <f>+R162+AD162</f>
        <v>286000</v>
      </c>
      <c r="E162" s="23"/>
      <c r="F162" s="74">
        <f t="shared" si="23"/>
        <v>286000</v>
      </c>
      <c r="G162" s="73">
        <f>+'F1,F2,F3,F4 (Desglose)'!H61</f>
        <v>13000</v>
      </c>
      <c r="H162" s="73">
        <f>+'F1,F2,F3,F4 (Desglose)'!I61</f>
        <v>13000</v>
      </c>
      <c r="I162" s="73">
        <f>+'F1,F2,F3,F4 (Desglose)'!J61</f>
        <v>13000</v>
      </c>
      <c r="J162" s="73">
        <f>+'F1,F2,F3,F4 (Desglose)'!K61</f>
        <v>13000</v>
      </c>
      <c r="K162" s="73">
        <f>+'F1,F2,F3,F4 (Desglose)'!L61</f>
        <v>13000</v>
      </c>
      <c r="L162" s="73">
        <f>+'F1,F2,F3,F4 (Desglose)'!M61</f>
        <v>13000</v>
      </c>
      <c r="M162" s="73">
        <f>+'F1,F2,F3,F4 (Desglose)'!N61</f>
        <v>13000</v>
      </c>
      <c r="N162" s="73">
        <f>+'F1,F2,F3,F4 (Desglose)'!O61</f>
        <v>13000</v>
      </c>
      <c r="O162" s="73">
        <f>+'F1,F2,F3,F4 (Desglose)'!P61</f>
        <v>13000</v>
      </c>
      <c r="P162" s="73">
        <f>+'F1,F2,F3,F4 (Desglose)'!Q61</f>
        <v>13000</v>
      </c>
      <c r="Q162" s="73">
        <f>+'F1,F2,F3,F4 (Desglose)'!R61</f>
        <v>13000</v>
      </c>
      <c r="R162" s="241">
        <f>SUM(G162:Q162)</f>
        <v>143000</v>
      </c>
      <c r="S162" s="73">
        <f>+'F1,F2,F3,F4 (Desglose)'!T61</f>
        <v>13000</v>
      </c>
      <c r="T162" s="73">
        <f>+'F1,F2,F3,F4 (Desglose)'!U61</f>
        <v>13000</v>
      </c>
      <c r="U162" s="73">
        <f>+'F1,F2,F3,F4 (Desglose)'!V61</f>
        <v>13000</v>
      </c>
      <c r="V162" s="73">
        <f>+'F1,F2,F3,F4 (Desglose)'!W61</f>
        <v>13000</v>
      </c>
      <c r="W162" s="73">
        <f>+'F1,F2,F3,F4 (Desglose)'!X61</f>
        <v>13000</v>
      </c>
      <c r="X162" s="73">
        <f>+'F1,F2,F3,F4 (Desglose)'!Y61</f>
        <v>13000</v>
      </c>
      <c r="Y162" s="73">
        <f>+'F1,F2,F3,F4 (Desglose)'!Z61</f>
        <v>13000</v>
      </c>
      <c r="Z162" s="73">
        <f>+'F1,F2,F3,F4 (Desglose)'!AA61</f>
        <v>13000</v>
      </c>
      <c r="AA162" s="73">
        <f>+'F1,F2,F3,F4 (Desglose)'!AB61</f>
        <v>13000</v>
      </c>
      <c r="AB162" s="73">
        <f>+'F1,F2,F3,F4 (Desglose)'!AC61</f>
        <v>13000</v>
      </c>
      <c r="AC162" s="73">
        <f>+'F1,F2,F3,F4 (Desglose)'!AD61</f>
        <v>13000</v>
      </c>
      <c r="AD162" s="241">
        <f>SUM(S162:AC162)</f>
        <v>143000</v>
      </c>
    </row>
    <row r="163" spans="1:30" s="4" customFormat="1" x14ac:dyDescent="0.3">
      <c r="A163" s="1076"/>
      <c r="B163" s="774" t="s">
        <v>3</v>
      </c>
      <c r="C163" s="2" t="s">
        <v>388</v>
      </c>
      <c r="D163" s="23">
        <f>+R163+AD163</f>
        <v>121000</v>
      </c>
      <c r="E163" s="23"/>
      <c r="F163" s="74">
        <f t="shared" si="23"/>
        <v>121000</v>
      </c>
      <c r="G163" s="73">
        <f>+'F1,F2,F3,F4 (Desglose)'!H62</f>
        <v>5500</v>
      </c>
      <c r="H163" s="73">
        <f>+'F1,F2,F3,F4 (Desglose)'!I62</f>
        <v>5500</v>
      </c>
      <c r="I163" s="73">
        <f>+'F1,F2,F3,F4 (Desglose)'!J62</f>
        <v>5500</v>
      </c>
      <c r="J163" s="73">
        <f>+'F1,F2,F3,F4 (Desglose)'!K62</f>
        <v>5500</v>
      </c>
      <c r="K163" s="73">
        <f>+'F1,F2,F3,F4 (Desglose)'!L62</f>
        <v>5500</v>
      </c>
      <c r="L163" s="73">
        <f>+'F1,F2,F3,F4 (Desglose)'!M62</f>
        <v>5500</v>
      </c>
      <c r="M163" s="73">
        <f>+'F1,F2,F3,F4 (Desglose)'!N62</f>
        <v>5500</v>
      </c>
      <c r="N163" s="73">
        <f>+'F1,F2,F3,F4 (Desglose)'!O62</f>
        <v>5500</v>
      </c>
      <c r="O163" s="73">
        <f>+'F1,F2,F3,F4 (Desglose)'!P62</f>
        <v>5500</v>
      </c>
      <c r="P163" s="73">
        <f>+'F1,F2,F3,F4 (Desglose)'!Q62</f>
        <v>5500</v>
      </c>
      <c r="Q163" s="73">
        <f>+'F1,F2,F3,F4 (Desglose)'!R62</f>
        <v>5500</v>
      </c>
      <c r="R163" s="241">
        <f>SUM(G163:Q163)</f>
        <v>60500</v>
      </c>
      <c r="S163" s="73">
        <f>+'F1,F2,F3,F4 (Desglose)'!T62</f>
        <v>5500</v>
      </c>
      <c r="T163" s="73">
        <f>+'F1,F2,F3,F4 (Desglose)'!U62</f>
        <v>5500</v>
      </c>
      <c r="U163" s="73">
        <f>+'F1,F2,F3,F4 (Desglose)'!V62</f>
        <v>5500</v>
      </c>
      <c r="V163" s="73">
        <f>+'F1,F2,F3,F4 (Desglose)'!W62</f>
        <v>5500</v>
      </c>
      <c r="W163" s="73">
        <f>+'F1,F2,F3,F4 (Desglose)'!X62</f>
        <v>5500</v>
      </c>
      <c r="X163" s="73">
        <f>+'F1,F2,F3,F4 (Desglose)'!Y62</f>
        <v>5500</v>
      </c>
      <c r="Y163" s="73">
        <f>+'F1,F2,F3,F4 (Desglose)'!Z62</f>
        <v>5500</v>
      </c>
      <c r="Z163" s="73">
        <f>+'F1,F2,F3,F4 (Desglose)'!AA62</f>
        <v>5500</v>
      </c>
      <c r="AA163" s="73">
        <f>+'F1,F2,F3,F4 (Desglose)'!AB62</f>
        <v>5500</v>
      </c>
      <c r="AB163" s="73">
        <f>+'F1,F2,F3,F4 (Desglose)'!AC62</f>
        <v>5500</v>
      </c>
      <c r="AC163" s="73">
        <f>+'F1,F2,F3,F4 (Desglose)'!AD62</f>
        <v>5500</v>
      </c>
      <c r="AD163" s="241">
        <f>SUM(S163:AC163)</f>
        <v>60500</v>
      </c>
    </row>
    <row r="164" spans="1:30" s="4" customFormat="1" x14ac:dyDescent="0.3">
      <c r="A164" s="1077"/>
      <c r="B164" s="774" t="s">
        <v>4</v>
      </c>
      <c r="C164" s="2" t="s">
        <v>80</v>
      </c>
      <c r="D164" s="23">
        <f>+R164+AD164</f>
        <v>462000</v>
      </c>
      <c r="E164" s="23"/>
      <c r="F164" s="74">
        <f t="shared" si="23"/>
        <v>462000</v>
      </c>
      <c r="G164" s="73">
        <f>+'F1,F2,F3,F4 (Desglose)'!H63</f>
        <v>21000</v>
      </c>
      <c r="H164" s="73">
        <f>+'F1,F2,F3,F4 (Desglose)'!I63</f>
        <v>21000</v>
      </c>
      <c r="I164" s="73">
        <f>+'F1,F2,F3,F4 (Desglose)'!J63</f>
        <v>21000</v>
      </c>
      <c r="J164" s="73">
        <f>+'F1,F2,F3,F4 (Desglose)'!K63</f>
        <v>21000</v>
      </c>
      <c r="K164" s="73">
        <f>+'F1,F2,F3,F4 (Desglose)'!L63</f>
        <v>21000</v>
      </c>
      <c r="L164" s="73">
        <f>+'F1,F2,F3,F4 (Desglose)'!M63</f>
        <v>21000</v>
      </c>
      <c r="M164" s="73">
        <f>+'F1,F2,F3,F4 (Desglose)'!N63</f>
        <v>21000</v>
      </c>
      <c r="N164" s="73">
        <f>+'F1,F2,F3,F4 (Desglose)'!O63</f>
        <v>21000</v>
      </c>
      <c r="O164" s="73">
        <f>+'F1,F2,F3,F4 (Desglose)'!P63</f>
        <v>21000</v>
      </c>
      <c r="P164" s="73">
        <f>+'F1,F2,F3,F4 (Desglose)'!Q63</f>
        <v>21000</v>
      </c>
      <c r="Q164" s="73">
        <f>+'F1,F2,F3,F4 (Desglose)'!R63</f>
        <v>21000</v>
      </c>
      <c r="R164" s="241">
        <f>SUM(G164:Q164)</f>
        <v>231000</v>
      </c>
      <c r="S164" s="73">
        <f>+'F1,F2,F3,F4 (Desglose)'!T63</f>
        <v>21000</v>
      </c>
      <c r="T164" s="73">
        <f>+'F1,F2,F3,F4 (Desglose)'!U63</f>
        <v>21000</v>
      </c>
      <c r="U164" s="73">
        <f>+'F1,F2,F3,F4 (Desglose)'!V63</f>
        <v>21000</v>
      </c>
      <c r="V164" s="73">
        <f>+'F1,F2,F3,F4 (Desglose)'!W63</f>
        <v>21000</v>
      </c>
      <c r="W164" s="73">
        <f>+'F1,F2,F3,F4 (Desglose)'!X63</f>
        <v>21000</v>
      </c>
      <c r="X164" s="73">
        <f>+'F1,F2,F3,F4 (Desglose)'!Y63</f>
        <v>21000</v>
      </c>
      <c r="Y164" s="73">
        <f>+'F1,F2,F3,F4 (Desglose)'!Z63</f>
        <v>21000</v>
      </c>
      <c r="Z164" s="73">
        <f>+'F1,F2,F3,F4 (Desglose)'!AA63</f>
        <v>21000</v>
      </c>
      <c r="AA164" s="73">
        <f>+'F1,F2,F3,F4 (Desglose)'!AB63</f>
        <v>21000</v>
      </c>
      <c r="AB164" s="73">
        <f>+'F1,F2,F3,F4 (Desglose)'!AC63</f>
        <v>21000</v>
      </c>
      <c r="AC164" s="73">
        <f>+'F1,F2,F3,F4 (Desglose)'!AD63</f>
        <v>21000</v>
      </c>
      <c r="AD164" s="241">
        <f>SUM(S164:AC164)</f>
        <v>231000</v>
      </c>
    </row>
    <row r="165" spans="1:30" x14ac:dyDescent="0.3">
      <c r="A165" s="1094" t="s">
        <v>6</v>
      </c>
      <c r="B165" s="43"/>
      <c r="C165" s="106"/>
      <c r="D165" s="75">
        <f>SUM(D166:D170)</f>
        <v>845048.75</v>
      </c>
      <c r="E165" s="75">
        <f>SUM(E166:E170)</f>
        <v>0</v>
      </c>
      <c r="F165" s="75">
        <f t="shared" si="23"/>
        <v>845048.75</v>
      </c>
      <c r="G165" s="75">
        <f>SUM(G166:G170)</f>
        <v>31877.059999999998</v>
      </c>
      <c r="H165" s="75">
        <f t="shared" ref="H165:AD165" si="26">SUM(H166:H170)</f>
        <v>32516.690000000002</v>
      </c>
      <c r="I165" s="75">
        <f t="shared" si="26"/>
        <v>36474</v>
      </c>
      <c r="J165" s="75">
        <f t="shared" si="26"/>
        <v>36474</v>
      </c>
      <c r="K165" s="75">
        <f t="shared" si="26"/>
        <v>36474</v>
      </c>
      <c r="L165" s="75">
        <f t="shared" si="26"/>
        <v>36474</v>
      </c>
      <c r="M165" s="75">
        <f t="shared" si="26"/>
        <v>36774</v>
      </c>
      <c r="N165" s="75">
        <f t="shared" si="26"/>
        <v>39774</v>
      </c>
      <c r="O165" s="75">
        <f t="shared" si="26"/>
        <v>39774</v>
      </c>
      <c r="P165" s="75">
        <f t="shared" si="26"/>
        <v>39774</v>
      </c>
      <c r="Q165" s="75">
        <f t="shared" si="26"/>
        <v>39774</v>
      </c>
      <c r="R165" s="75">
        <f t="shared" si="26"/>
        <v>406159.75</v>
      </c>
      <c r="S165" s="75">
        <f t="shared" si="26"/>
        <v>39899</v>
      </c>
      <c r="T165" s="75">
        <f t="shared" si="26"/>
        <v>39899</v>
      </c>
      <c r="U165" s="75">
        <f t="shared" si="26"/>
        <v>39899</v>
      </c>
      <c r="V165" s="75">
        <f t="shared" si="26"/>
        <v>39899</v>
      </c>
      <c r="W165" s="75">
        <f t="shared" si="26"/>
        <v>39899</v>
      </c>
      <c r="X165" s="75">
        <f t="shared" si="26"/>
        <v>39899</v>
      </c>
      <c r="Y165" s="75">
        <f t="shared" si="26"/>
        <v>39899</v>
      </c>
      <c r="Z165" s="75">
        <f t="shared" si="26"/>
        <v>39899</v>
      </c>
      <c r="AA165" s="75">
        <f t="shared" si="26"/>
        <v>39899</v>
      </c>
      <c r="AB165" s="75">
        <f t="shared" si="26"/>
        <v>39899</v>
      </c>
      <c r="AC165" s="75">
        <f t="shared" si="26"/>
        <v>39899</v>
      </c>
      <c r="AD165" s="75">
        <f t="shared" si="26"/>
        <v>438889</v>
      </c>
    </row>
    <row r="166" spans="1:30" x14ac:dyDescent="0.3">
      <c r="A166" s="1094"/>
      <c r="B166" s="39" t="s">
        <v>2</v>
      </c>
      <c r="C166" s="104" t="s">
        <v>86</v>
      </c>
      <c r="D166" s="23">
        <f>+R166+AD166</f>
        <v>96745.75</v>
      </c>
      <c r="E166" s="23"/>
      <c r="F166" s="74">
        <f t="shared" si="23"/>
        <v>96745.75</v>
      </c>
      <c r="G166" s="73">
        <f>+'F1,F2,F3,F4 (Desglose)'!H65</f>
        <v>3145.75</v>
      </c>
      <c r="H166" s="73">
        <f>+'F1,F2,F3,F4 (Desglose)'!I65</f>
        <v>3700</v>
      </c>
      <c r="I166" s="73">
        <f>+'F1,F2,F3,F4 (Desglose)'!J65</f>
        <v>4200</v>
      </c>
      <c r="J166" s="73">
        <f>+'F1,F2,F3,F4 (Desglose)'!K65</f>
        <v>4200</v>
      </c>
      <c r="K166" s="73">
        <f>+'F1,F2,F3,F4 (Desglose)'!L65</f>
        <v>4200</v>
      </c>
      <c r="L166" s="73">
        <f>+'F1,F2,F3,F4 (Desglose)'!M65</f>
        <v>4200</v>
      </c>
      <c r="M166" s="73">
        <f>+'F1,F2,F3,F4 (Desglose)'!N65</f>
        <v>4500</v>
      </c>
      <c r="N166" s="73">
        <f>+'F1,F2,F3,F4 (Desglose)'!O65</f>
        <v>4500</v>
      </c>
      <c r="O166" s="73">
        <f>+'F1,F2,F3,F4 (Desglose)'!P65</f>
        <v>4500</v>
      </c>
      <c r="P166" s="73">
        <f>+'F1,F2,F3,F4 (Desglose)'!Q65</f>
        <v>4500</v>
      </c>
      <c r="Q166" s="73">
        <f>+'F1,F2,F3,F4 (Desglose)'!R65</f>
        <v>4500</v>
      </c>
      <c r="R166" s="241">
        <f>SUM(G166:Q166)</f>
        <v>46145.75</v>
      </c>
      <c r="S166" s="73">
        <f>+'F1,F2,F3,F4 (Desglose)'!T65</f>
        <v>4600</v>
      </c>
      <c r="T166" s="73">
        <f>+'F1,F2,F3,F4 (Desglose)'!U65</f>
        <v>4600</v>
      </c>
      <c r="U166" s="73">
        <f>+'F1,F2,F3,F4 (Desglose)'!V65</f>
        <v>4600</v>
      </c>
      <c r="V166" s="73">
        <f>+'F1,F2,F3,F4 (Desglose)'!W65</f>
        <v>4600</v>
      </c>
      <c r="W166" s="73">
        <f>+'F1,F2,F3,F4 (Desglose)'!X65</f>
        <v>4600</v>
      </c>
      <c r="X166" s="73">
        <f>+'F1,F2,F3,F4 (Desglose)'!Y65</f>
        <v>4600</v>
      </c>
      <c r="Y166" s="73">
        <f>+'F1,F2,F3,F4 (Desglose)'!Z65</f>
        <v>4600</v>
      </c>
      <c r="Z166" s="73">
        <f>+'F1,F2,F3,F4 (Desglose)'!AA65</f>
        <v>4600</v>
      </c>
      <c r="AA166" s="73">
        <f>+'F1,F2,F3,F4 (Desglose)'!AB65</f>
        <v>4600</v>
      </c>
      <c r="AB166" s="73">
        <f>+'F1,F2,F3,F4 (Desglose)'!AC65</f>
        <v>4600</v>
      </c>
      <c r="AC166" s="73">
        <f>+'F1,F2,F3,F4 (Desglose)'!AD65</f>
        <v>4600</v>
      </c>
      <c r="AD166" s="241">
        <f>SUM(S166:AC166)</f>
        <v>50600</v>
      </c>
    </row>
    <row r="167" spans="1:30" x14ac:dyDescent="0.3">
      <c r="A167" s="1094"/>
      <c r="B167" s="39" t="s">
        <v>3</v>
      </c>
      <c r="C167" s="104" t="s">
        <v>7</v>
      </c>
      <c r="D167" s="23">
        <f>+R167+AD167</f>
        <v>25800</v>
      </c>
      <c r="E167" s="23"/>
      <c r="F167" s="74">
        <f t="shared" si="23"/>
        <v>25800</v>
      </c>
      <c r="G167" s="73">
        <f>+'F1,F2,F3,F4 (Desglose)'!H69</f>
        <v>857.31</v>
      </c>
      <c r="H167" s="73">
        <f>+'F1,F2,F3,F4 (Desglose)'!I69</f>
        <v>942.69</v>
      </c>
      <c r="I167" s="73">
        <f>+'F1,F2,F3,F4 (Desglose)'!J69</f>
        <v>1200</v>
      </c>
      <c r="J167" s="73">
        <f>+'F1,F2,F3,F4 (Desglose)'!K69</f>
        <v>1200</v>
      </c>
      <c r="K167" s="73">
        <f>+'F1,F2,F3,F4 (Desglose)'!L69</f>
        <v>1200</v>
      </c>
      <c r="L167" s="73">
        <f>+'F1,F2,F3,F4 (Desglose)'!M69</f>
        <v>1200</v>
      </c>
      <c r="M167" s="73">
        <f>+'F1,F2,F3,F4 (Desglose)'!N69</f>
        <v>1200</v>
      </c>
      <c r="N167" s="73">
        <f>+'F1,F2,F3,F4 (Desglose)'!O69</f>
        <v>1200</v>
      </c>
      <c r="O167" s="73">
        <f>+'F1,F2,F3,F4 (Desglose)'!P69</f>
        <v>1200</v>
      </c>
      <c r="P167" s="73">
        <f>+'F1,F2,F3,F4 (Desglose)'!Q69</f>
        <v>1200</v>
      </c>
      <c r="Q167" s="73">
        <f>+'F1,F2,F3,F4 (Desglose)'!R69</f>
        <v>1200</v>
      </c>
      <c r="R167" s="241">
        <f>SUM(G167:Q167)</f>
        <v>12600</v>
      </c>
      <c r="S167" s="73">
        <f>+'F1,F2,F3,F4 (Desglose)'!T69</f>
        <v>1200</v>
      </c>
      <c r="T167" s="73">
        <f>+'F1,F2,F3,F4 (Desglose)'!U69</f>
        <v>1200</v>
      </c>
      <c r="U167" s="73">
        <f>+'F1,F2,F3,F4 (Desglose)'!V69</f>
        <v>1200</v>
      </c>
      <c r="V167" s="73">
        <f>+'F1,F2,F3,F4 (Desglose)'!W69</f>
        <v>1200</v>
      </c>
      <c r="W167" s="73">
        <f>+'F1,F2,F3,F4 (Desglose)'!X69</f>
        <v>1200</v>
      </c>
      <c r="X167" s="73">
        <f>+'F1,F2,F3,F4 (Desglose)'!Y69</f>
        <v>1200</v>
      </c>
      <c r="Y167" s="73">
        <f>+'F1,F2,F3,F4 (Desglose)'!Z69</f>
        <v>1200</v>
      </c>
      <c r="Z167" s="73">
        <f>+'F1,F2,F3,F4 (Desglose)'!AA69</f>
        <v>1200</v>
      </c>
      <c r="AA167" s="73">
        <f>+'F1,F2,F3,F4 (Desglose)'!AB69</f>
        <v>1200</v>
      </c>
      <c r="AB167" s="73">
        <f>+'F1,F2,F3,F4 (Desglose)'!AC69</f>
        <v>1200</v>
      </c>
      <c r="AC167" s="73">
        <f>+'F1,F2,F3,F4 (Desglose)'!AD69</f>
        <v>1200</v>
      </c>
      <c r="AD167" s="241">
        <f>SUM(S167:AC167)</f>
        <v>13200</v>
      </c>
    </row>
    <row r="168" spans="1:30" x14ac:dyDescent="0.3">
      <c r="A168" s="1094"/>
      <c r="B168" s="39" t="s">
        <v>4</v>
      </c>
      <c r="C168" s="104" t="s">
        <v>87</v>
      </c>
      <c r="D168" s="23">
        <f>+R168+AD168</f>
        <v>1925</v>
      </c>
      <c r="E168" s="23"/>
      <c r="F168" s="74">
        <f t="shared" si="23"/>
        <v>1925</v>
      </c>
      <c r="G168" s="73">
        <f>+'F1,F2,F3,F4 (Desglose)'!H73</f>
        <v>75</v>
      </c>
      <c r="H168" s="73">
        <f>+'F1,F2,F3,F4 (Desglose)'!I73</f>
        <v>75</v>
      </c>
      <c r="I168" s="73">
        <f>+'F1,F2,F3,F4 (Desglose)'!J73</f>
        <v>75</v>
      </c>
      <c r="J168" s="73">
        <f>+'F1,F2,F3,F4 (Desglose)'!K73</f>
        <v>75</v>
      </c>
      <c r="K168" s="73">
        <f>+'F1,F2,F3,F4 (Desglose)'!L73</f>
        <v>75</v>
      </c>
      <c r="L168" s="73">
        <f>+'F1,F2,F3,F4 (Desglose)'!M73</f>
        <v>75</v>
      </c>
      <c r="M168" s="73">
        <f>+'F1,F2,F3,F4 (Desglose)'!N73</f>
        <v>75</v>
      </c>
      <c r="N168" s="73">
        <f>+'F1,F2,F3,F4 (Desglose)'!O73</f>
        <v>75</v>
      </c>
      <c r="O168" s="73">
        <f>+'F1,F2,F3,F4 (Desglose)'!P73</f>
        <v>75</v>
      </c>
      <c r="P168" s="73">
        <f>+'F1,F2,F3,F4 (Desglose)'!Q73</f>
        <v>75</v>
      </c>
      <c r="Q168" s="73">
        <f>+'F1,F2,F3,F4 (Desglose)'!R73</f>
        <v>75</v>
      </c>
      <c r="R168" s="241">
        <f>SUM(G168:Q168)</f>
        <v>825</v>
      </c>
      <c r="S168" s="73">
        <f>+'F1,F2,F3,F4 (Desglose)'!T73</f>
        <v>100</v>
      </c>
      <c r="T168" s="73">
        <f>+'F1,F2,F3,F4 (Desglose)'!U73</f>
        <v>100</v>
      </c>
      <c r="U168" s="73">
        <f>+'F1,F2,F3,F4 (Desglose)'!V73</f>
        <v>100</v>
      </c>
      <c r="V168" s="73">
        <f>+'F1,F2,F3,F4 (Desglose)'!W73</f>
        <v>100</v>
      </c>
      <c r="W168" s="73">
        <f>+'F1,F2,F3,F4 (Desglose)'!X73</f>
        <v>100</v>
      </c>
      <c r="X168" s="73">
        <f>+'F1,F2,F3,F4 (Desglose)'!Y73</f>
        <v>100</v>
      </c>
      <c r="Y168" s="73">
        <f>+'F1,F2,F3,F4 (Desglose)'!Z73</f>
        <v>100</v>
      </c>
      <c r="Z168" s="73">
        <f>+'F1,F2,F3,F4 (Desglose)'!AA73</f>
        <v>100</v>
      </c>
      <c r="AA168" s="73">
        <f>+'F1,F2,F3,F4 (Desglose)'!AB73</f>
        <v>100</v>
      </c>
      <c r="AB168" s="73">
        <f>+'F1,F2,F3,F4 (Desglose)'!AC73</f>
        <v>100</v>
      </c>
      <c r="AC168" s="73">
        <f>+'F1,F2,F3,F4 (Desglose)'!AD73</f>
        <v>100</v>
      </c>
      <c r="AD168" s="241">
        <f>SUM(S168:AC168)</f>
        <v>1100</v>
      </c>
    </row>
    <row r="169" spans="1:30" x14ac:dyDescent="0.3">
      <c r="A169" s="1094"/>
      <c r="B169" s="39" t="s">
        <v>8</v>
      </c>
      <c r="C169" s="104" t="s">
        <v>83</v>
      </c>
      <c r="D169" s="23">
        <f>+R169+AD169</f>
        <v>81578</v>
      </c>
      <c r="E169" s="23"/>
      <c r="F169" s="74">
        <f t="shared" si="23"/>
        <v>81578</v>
      </c>
      <c r="G169" s="73">
        <f>+'F1,F2,F3,F4 (Desglose)'!H77</f>
        <v>799</v>
      </c>
      <c r="H169" s="73">
        <f>+'F1,F2,F3,F4 (Desglose)'!I77</f>
        <v>799</v>
      </c>
      <c r="I169" s="73">
        <f>+'F1,F2,F3,F4 (Desglose)'!J77</f>
        <v>3999</v>
      </c>
      <c r="J169" s="73">
        <f>+'F1,F2,F3,F4 (Desglose)'!K77</f>
        <v>3999</v>
      </c>
      <c r="K169" s="73">
        <f>+'F1,F2,F3,F4 (Desglose)'!L77</f>
        <v>3999</v>
      </c>
      <c r="L169" s="73">
        <f>+'F1,F2,F3,F4 (Desglose)'!M77</f>
        <v>3999</v>
      </c>
      <c r="M169" s="73">
        <f>+'F1,F2,F3,F4 (Desglose)'!N77</f>
        <v>3999</v>
      </c>
      <c r="N169" s="73">
        <f>+'F1,F2,F3,F4 (Desglose)'!O77</f>
        <v>3999</v>
      </c>
      <c r="O169" s="73">
        <f>+'F1,F2,F3,F4 (Desglose)'!P77</f>
        <v>3999</v>
      </c>
      <c r="P169" s="73">
        <f>+'F1,F2,F3,F4 (Desglose)'!Q77</f>
        <v>3999</v>
      </c>
      <c r="Q169" s="73">
        <f>+'F1,F2,F3,F4 (Desglose)'!R77</f>
        <v>3999</v>
      </c>
      <c r="R169" s="241">
        <f>SUM(G169:Q169)</f>
        <v>37589</v>
      </c>
      <c r="S169" s="73">
        <f>+'F1,F2,F3,F4 (Desglose)'!T77</f>
        <v>3999</v>
      </c>
      <c r="T169" s="73">
        <f>+'F1,F2,F3,F4 (Desglose)'!U77</f>
        <v>3999</v>
      </c>
      <c r="U169" s="73">
        <f>+'F1,F2,F3,F4 (Desglose)'!V77</f>
        <v>3999</v>
      </c>
      <c r="V169" s="73">
        <f>+'F1,F2,F3,F4 (Desglose)'!W77</f>
        <v>3999</v>
      </c>
      <c r="W169" s="73">
        <f>+'F1,F2,F3,F4 (Desglose)'!X77</f>
        <v>3999</v>
      </c>
      <c r="X169" s="73">
        <f>+'F1,F2,F3,F4 (Desglose)'!Y77</f>
        <v>3999</v>
      </c>
      <c r="Y169" s="73">
        <f>+'F1,F2,F3,F4 (Desglose)'!Z77</f>
        <v>3999</v>
      </c>
      <c r="Z169" s="73">
        <f>+'F1,F2,F3,F4 (Desglose)'!AA77</f>
        <v>3999</v>
      </c>
      <c r="AA169" s="73">
        <f>+'F1,F2,F3,F4 (Desglose)'!AB77</f>
        <v>3999</v>
      </c>
      <c r="AB169" s="73">
        <f>+'F1,F2,F3,F4 (Desglose)'!AC77</f>
        <v>3999</v>
      </c>
      <c r="AC169" s="73">
        <f>+'F1,F2,F3,F4 (Desglose)'!AD77</f>
        <v>3999</v>
      </c>
      <c r="AD169" s="241">
        <f>SUM(S169:AC169)</f>
        <v>43989</v>
      </c>
    </row>
    <row r="170" spans="1:30" x14ac:dyDescent="0.3">
      <c r="A170" s="1094"/>
      <c r="B170" s="39" t="s">
        <v>9</v>
      </c>
      <c r="C170" s="104" t="s">
        <v>20</v>
      </c>
      <c r="D170" s="23">
        <f>+R170+AD170</f>
        <v>639000</v>
      </c>
      <c r="E170" s="23"/>
      <c r="F170" s="74">
        <f t="shared" si="23"/>
        <v>639000</v>
      </c>
      <c r="G170" s="73">
        <f>+'F1,F2,F3,F4 (Desglose)'!H81</f>
        <v>27000</v>
      </c>
      <c r="H170" s="73">
        <f>+'F1,F2,F3,F4 (Desglose)'!I81</f>
        <v>27000</v>
      </c>
      <c r="I170" s="73">
        <f>+'F1,F2,F3,F4 (Desglose)'!J81</f>
        <v>27000</v>
      </c>
      <c r="J170" s="73">
        <f>+'F1,F2,F3,F4 (Desglose)'!K81</f>
        <v>27000</v>
      </c>
      <c r="K170" s="73">
        <f>+'F1,F2,F3,F4 (Desglose)'!L81</f>
        <v>27000</v>
      </c>
      <c r="L170" s="73">
        <f>+'F1,F2,F3,F4 (Desglose)'!M81</f>
        <v>27000</v>
      </c>
      <c r="M170" s="73">
        <f>+'F1,F2,F3,F4 (Desglose)'!N81</f>
        <v>27000</v>
      </c>
      <c r="N170" s="73">
        <f>+'F1,F2,F3,F4 (Desglose)'!O81</f>
        <v>30000</v>
      </c>
      <c r="O170" s="73">
        <f>+'F1,F2,F3,F4 (Desglose)'!P81</f>
        <v>30000</v>
      </c>
      <c r="P170" s="73">
        <f>+'F1,F2,F3,F4 (Desglose)'!Q81</f>
        <v>30000</v>
      </c>
      <c r="Q170" s="73">
        <f>+'F1,F2,F3,F4 (Desglose)'!R81</f>
        <v>30000</v>
      </c>
      <c r="R170" s="241">
        <f>SUM(G170:Q170)</f>
        <v>309000</v>
      </c>
      <c r="S170" s="73">
        <f>+'F1,F2,F3,F4 (Desglose)'!T81</f>
        <v>30000</v>
      </c>
      <c r="T170" s="73">
        <f>+'F1,F2,F3,F4 (Desglose)'!U81</f>
        <v>30000</v>
      </c>
      <c r="U170" s="73">
        <f>+'F1,F2,F3,F4 (Desglose)'!V81</f>
        <v>30000</v>
      </c>
      <c r="V170" s="73">
        <f>+'F1,F2,F3,F4 (Desglose)'!W81</f>
        <v>30000</v>
      </c>
      <c r="W170" s="73">
        <f>+'F1,F2,F3,F4 (Desglose)'!X81</f>
        <v>30000</v>
      </c>
      <c r="X170" s="73">
        <f>+'F1,F2,F3,F4 (Desglose)'!Y81</f>
        <v>30000</v>
      </c>
      <c r="Y170" s="73">
        <f>+'F1,F2,F3,F4 (Desglose)'!Z81</f>
        <v>30000</v>
      </c>
      <c r="Z170" s="73">
        <f>+'F1,F2,F3,F4 (Desglose)'!AA81</f>
        <v>30000</v>
      </c>
      <c r="AA170" s="73">
        <f>+'F1,F2,F3,F4 (Desglose)'!AB81</f>
        <v>30000</v>
      </c>
      <c r="AB170" s="73">
        <f>+'F1,F2,F3,F4 (Desglose)'!AC81</f>
        <v>30000</v>
      </c>
      <c r="AC170" s="73">
        <f>+'F1,F2,F3,F4 (Desglose)'!AD81</f>
        <v>30000</v>
      </c>
      <c r="AD170" s="241">
        <f>SUM(S170:AC170)</f>
        <v>330000</v>
      </c>
    </row>
    <row r="171" spans="1:30" x14ac:dyDescent="0.3">
      <c r="A171" s="1094" t="s">
        <v>21</v>
      </c>
      <c r="B171" s="43"/>
      <c r="C171" s="106"/>
      <c r="D171" s="75">
        <f>SUM(D172:D176)</f>
        <v>508529.2</v>
      </c>
      <c r="E171" s="75">
        <f>SUM(E172:E176)</f>
        <v>0</v>
      </c>
      <c r="F171" s="75">
        <f t="shared" si="23"/>
        <v>508529.2</v>
      </c>
      <c r="G171" s="75">
        <f>SUM(G172:G176)</f>
        <v>13470</v>
      </c>
      <c r="H171" s="75">
        <f t="shared" ref="H171:AD171" si="27">SUM(H172:H176)</f>
        <v>18059.2</v>
      </c>
      <c r="I171" s="75">
        <f t="shared" si="27"/>
        <v>32000</v>
      </c>
      <c r="J171" s="75">
        <f t="shared" si="27"/>
        <v>52000</v>
      </c>
      <c r="K171" s="75">
        <f t="shared" si="27"/>
        <v>12000</v>
      </c>
      <c r="L171" s="75">
        <f t="shared" si="27"/>
        <v>12000</v>
      </c>
      <c r="M171" s="75">
        <f t="shared" si="27"/>
        <v>12000</v>
      </c>
      <c r="N171" s="75">
        <f t="shared" si="27"/>
        <v>27000</v>
      </c>
      <c r="O171" s="75">
        <f t="shared" si="27"/>
        <v>26000</v>
      </c>
      <c r="P171" s="75">
        <f t="shared" si="27"/>
        <v>26000</v>
      </c>
      <c r="Q171" s="75">
        <f t="shared" si="27"/>
        <v>24000</v>
      </c>
      <c r="R171" s="75">
        <f t="shared" si="27"/>
        <v>254529.2</v>
      </c>
      <c r="S171" s="97">
        <f t="shared" si="27"/>
        <v>0</v>
      </c>
      <c r="T171" s="75">
        <f t="shared" si="27"/>
        <v>52000</v>
      </c>
      <c r="U171" s="75">
        <f t="shared" si="27"/>
        <v>17000</v>
      </c>
      <c r="V171" s="75">
        <f t="shared" si="27"/>
        <v>17000</v>
      </c>
      <c r="W171" s="75">
        <f t="shared" si="27"/>
        <v>29000</v>
      </c>
      <c r="X171" s="75">
        <f t="shared" si="27"/>
        <v>17000</v>
      </c>
      <c r="Y171" s="75">
        <f t="shared" si="27"/>
        <v>17000</v>
      </c>
      <c r="Z171" s="75">
        <f t="shared" si="27"/>
        <v>17000</v>
      </c>
      <c r="AA171" s="75">
        <f t="shared" si="27"/>
        <v>21000</v>
      </c>
      <c r="AB171" s="75">
        <f t="shared" si="27"/>
        <v>31000</v>
      </c>
      <c r="AC171" s="75">
        <f t="shared" si="27"/>
        <v>36000</v>
      </c>
      <c r="AD171" s="75">
        <f t="shared" si="27"/>
        <v>254000</v>
      </c>
    </row>
    <row r="172" spans="1:30" ht="35.25" customHeight="1" x14ac:dyDescent="0.3">
      <c r="A172" s="1094"/>
      <c r="B172" s="774" t="s">
        <v>2</v>
      </c>
      <c r="C172" s="2" t="s">
        <v>84</v>
      </c>
      <c r="D172" s="23">
        <f>+R172+AD172</f>
        <v>178500</v>
      </c>
      <c r="E172" s="23"/>
      <c r="F172" s="74">
        <f t="shared" si="23"/>
        <v>178500</v>
      </c>
      <c r="G172" s="73">
        <f>+'F1,F2,F3,F4 (Desglose)'!H86</f>
        <v>12500</v>
      </c>
      <c r="H172" s="73">
        <f>+'F1,F2,F3,F4 (Desglose)'!I86</f>
        <v>8000</v>
      </c>
      <c r="I172" s="73">
        <f>+'F1,F2,F3,F4 (Desglose)'!J86</f>
        <v>6000</v>
      </c>
      <c r="J172" s="73">
        <f>+'F1,F2,F3,F4 (Desglose)'!K86</f>
        <v>6000</v>
      </c>
      <c r="K172" s="73">
        <f>+'F1,F2,F3,F4 (Desglose)'!L86</f>
        <v>6000</v>
      </c>
      <c r="L172" s="73">
        <f>+'F1,F2,F3,F4 (Desglose)'!M86</f>
        <v>6000</v>
      </c>
      <c r="M172" s="73">
        <f>+'F1,F2,F3,F4 (Desglose)'!N86</f>
        <v>6000</v>
      </c>
      <c r="N172" s="73">
        <f>+'F1,F2,F3,F4 (Desglose)'!O86</f>
        <v>6000</v>
      </c>
      <c r="O172" s="73">
        <f>+'F1,F2,F3,F4 (Desglose)'!P86</f>
        <v>15000</v>
      </c>
      <c r="P172" s="73">
        <f>+'F1,F2,F3,F4 (Desglose)'!Q86</f>
        <v>15000</v>
      </c>
      <c r="Q172" s="73">
        <f>+'F1,F2,F3,F4 (Desglose)'!R86</f>
        <v>13000</v>
      </c>
      <c r="R172" s="241">
        <f>SUM(G172:Q172)</f>
        <v>99500</v>
      </c>
      <c r="S172" s="73">
        <f>+'F1,F2,F3,F4 (Desglose)'!T86</f>
        <v>0</v>
      </c>
      <c r="T172" s="73">
        <f>+'F1,F2,F3,F4 (Desglose)'!U86</f>
        <v>6000</v>
      </c>
      <c r="U172" s="73">
        <f>+'F1,F2,F3,F4 (Desglose)'!V86</f>
        <v>6000</v>
      </c>
      <c r="V172" s="73">
        <f>+'F1,F2,F3,F4 (Desglose)'!W86</f>
        <v>6000</v>
      </c>
      <c r="W172" s="73">
        <f>+'F1,F2,F3,F4 (Desglose)'!X86</f>
        <v>8000</v>
      </c>
      <c r="X172" s="73">
        <f>+'F1,F2,F3,F4 (Desglose)'!Y86</f>
        <v>6000</v>
      </c>
      <c r="Y172" s="73">
        <f>+'F1,F2,F3,F4 (Desglose)'!Z86</f>
        <v>6000</v>
      </c>
      <c r="Z172" s="73">
        <f>+'F1,F2,F3,F4 (Desglose)'!AA86</f>
        <v>6000</v>
      </c>
      <c r="AA172" s="73">
        <f>+'F1,F2,F3,F4 (Desglose)'!AB86</f>
        <v>10000</v>
      </c>
      <c r="AB172" s="73">
        <f>+'F1,F2,F3,F4 (Desglose)'!AC86</f>
        <v>20000</v>
      </c>
      <c r="AC172" s="73">
        <f>+'F1,F2,F3,F4 (Desglose)'!AD86</f>
        <v>5000</v>
      </c>
      <c r="AD172" s="241">
        <f>SUM(S172:AC172)</f>
        <v>79000</v>
      </c>
    </row>
    <row r="173" spans="1:30" ht="72" x14ac:dyDescent="0.3">
      <c r="A173" s="1094"/>
      <c r="B173" s="774" t="s">
        <v>3</v>
      </c>
      <c r="C173" s="2" t="s">
        <v>89</v>
      </c>
      <c r="D173" s="23">
        <f>+R173+AD173</f>
        <v>204949.2</v>
      </c>
      <c r="E173" s="23"/>
      <c r="F173" s="74">
        <f t="shared" si="23"/>
        <v>204949.2</v>
      </c>
      <c r="G173" s="73">
        <f>+'F1,F2,F3,F4 (Desglose)'!H87</f>
        <v>375</v>
      </c>
      <c r="H173" s="73">
        <f>+'F1,F2,F3,F4 (Desglose)'!I87</f>
        <v>9574.2000000000007</v>
      </c>
      <c r="I173" s="73">
        <f>+'F1,F2,F3,F4 (Desglose)'!J87</f>
        <v>10000</v>
      </c>
      <c r="J173" s="73">
        <f>+'F1,F2,F3,F4 (Desglose)'!K87</f>
        <v>10000</v>
      </c>
      <c r="K173" s="73">
        <f>+'F1,F2,F3,F4 (Desglose)'!L87</f>
        <v>5000</v>
      </c>
      <c r="L173" s="73">
        <f>+'F1,F2,F3,F4 (Desglose)'!M87</f>
        <v>5000</v>
      </c>
      <c r="M173" s="73">
        <f>+'F1,F2,F3,F4 (Desglose)'!N87</f>
        <v>5000</v>
      </c>
      <c r="N173" s="73">
        <f>+'F1,F2,F3,F4 (Desglose)'!O87</f>
        <v>10000</v>
      </c>
      <c r="O173" s="73">
        <f>+'F1,F2,F3,F4 (Desglose)'!P87</f>
        <v>10000</v>
      </c>
      <c r="P173" s="73">
        <f>+'F1,F2,F3,F4 (Desglose)'!Q87</f>
        <v>10000</v>
      </c>
      <c r="Q173" s="73">
        <f>+'F1,F2,F3,F4 (Desglose)'!R87</f>
        <v>10000</v>
      </c>
      <c r="R173" s="241">
        <f>SUM(G173:Q173)</f>
        <v>84949.2</v>
      </c>
      <c r="S173" s="73">
        <f>+'F1,F2,F3,F4 (Desglose)'!T87</f>
        <v>0</v>
      </c>
      <c r="T173" s="73">
        <f>+'F1,F2,F3,F4 (Desglose)'!U87</f>
        <v>10000</v>
      </c>
      <c r="U173" s="73">
        <f>+'F1,F2,F3,F4 (Desglose)'!V87</f>
        <v>10000</v>
      </c>
      <c r="V173" s="73">
        <f>+'F1,F2,F3,F4 (Desglose)'!W87</f>
        <v>10000</v>
      </c>
      <c r="W173" s="73">
        <f>+'F1,F2,F3,F4 (Desglose)'!X87</f>
        <v>10000</v>
      </c>
      <c r="X173" s="73">
        <f>+'F1,F2,F3,F4 (Desglose)'!Y87</f>
        <v>10000</v>
      </c>
      <c r="Y173" s="73">
        <f>+'F1,F2,F3,F4 (Desglose)'!Z87</f>
        <v>10000</v>
      </c>
      <c r="Z173" s="73">
        <f>+'F1,F2,F3,F4 (Desglose)'!AA87</f>
        <v>10000</v>
      </c>
      <c r="AA173" s="73">
        <f>+'F1,F2,F3,F4 (Desglose)'!AB87</f>
        <v>10000</v>
      </c>
      <c r="AB173" s="73">
        <f>+'F1,F2,F3,F4 (Desglose)'!AC87</f>
        <v>10000</v>
      </c>
      <c r="AC173" s="73">
        <f>+'F1,F2,F3,F4 (Desglose)'!AD87</f>
        <v>30000</v>
      </c>
      <c r="AD173" s="241">
        <f>SUM(S173:AC173)</f>
        <v>120000</v>
      </c>
    </row>
    <row r="174" spans="1:30" ht="33.75" customHeight="1" x14ac:dyDescent="0.3">
      <c r="A174" s="1094"/>
      <c r="B174" s="774" t="s">
        <v>4</v>
      </c>
      <c r="C174" s="46" t="s">
        <v>12</v>
      </c>
      <c r="D174" s="23">
        <f>+R174+AD174</f>
        <v>20080</v>
      </c>
      <c r="E174" s="23"/>
      <c r="F174" s="74">
        <f t="shared" si="23"/>
        <v>20080</v>
      </c>
      <c r="G174" s="73">
        <f>+'F1,F2,F3,F4 (Desglose)'!H88</f>
        <v>595</v>
      </c>
      <c r="H174" s="73">
        <f>+'F1,F2,F3,F4 (Desglose)'!I88</f>
        <v>485</v>
      </c>
      <c r="I174" s="73">
        <f>+'F1,F2,F3,F4 (Desglose)'!J88</f>
        <v>1000</v>
      </c>
      <c r="J174" s="73">
        <f>+'F1,F2,F3,F4 (Desglose)'!K88</f>
        <v>1000</v>
      </c>
      <c r="K174" s="73">
        <f>+'F1,F2,F3,F4 (Desglose)'!L88</f>
        <v>1000</v>
      </c>
      <c r="L174" s="73">
        <f>+'F1,F2,F3,F4 (Desglose)'!M88</f>
        <v>1000</v>
      </c>
      <c r="M174" s="73">
        <f>+'F1,F2,F3,F4 (Desglose)'!N88</f>
        <v>1000</v>
      </c>
      <c r="N174" s="73">
        <f>+'F1,F2,F3,F4 (Desglose)'!O88</f>
        <v>1000</v>
      </c>
      <c r="O174" s="73">
        <f>+'F1,F2,F3,F4 (Desglose)'!P88</f>
        <v>1000</v>
      </c>
      <c r="P174" s="73">
        <f>+'F1,F2,F3,F4 (Desglose)'!Q88</f>
        <v>1000</v>
      </c>
      <c r="Q174" s="73">
        <f>+'F1,F2,F3,F4 (Desglose)'!R88</f>
        <v>1000</v>
      </c>
      <c r="R174" s="241">
        <f>SUM(G174:Q174)</f>
        <v>10080</v>
      </c>
      <c r="S174" s="73">
        <f>+'F1,F2,F3,F4 (Desglose)'!T88</f>
        <v>0</v>
      </c>
      <c r="T174" s="73">
        <f>+'F1,F2,F3,F4 (Desglose)'!U88</f>
        <v>1000</v>
      </c>
      <c r="U174" s="73">
        <f>+'F1,F2,F3,F4 (Desglose)'!V88</f>
        <v>1000</v>
      </c>
      <c r="V174" s="73">
        <f>+'F1,F2,F3,F4 (Desglose)'!W88</f>
        <v>1000</v>
      </c>
      <c r="W174" s="73">
        <f>+'F1,F2,F3,F4 (Desglose)'!X88</f>
        <v>1000</v>
      </c>
      <c r="X174" s="73">
        <f>+'F1,F2,F3,F4 (Desglose)'!Y88</f>
        <v>1000</v>
      </c>
      <c r="Y174" s="73">
        <f>+'F1,F2,F3,F4 (Desglose)'!Z88</f>
        <v>1000</v>
      </c>
      <c r="Z174" s="73">
        <f>+'F1,F2,F3,F4 (Desglose)'!AA88</f>
        <v>1000</v>
      </c>
      <c r="AA174" s="73">
        <f>+'F1,F2,F3,F4 (Desglose)'!AB88</f>
        <v>1000</v>
      </c>
      <c r="AB174" s="73">
        <f>+'F1,F2,F3,F4 (Desglose)'!AC88</f>
        <v>1000</v>
      </c>
      <c r="AC174" s="73">
        <f>+'F1,F2,F3,F4 (Desglose)'!AD88</f>
        <v>1000</v>
      </c>
      <c r="AD174" s="241">
        <f>SUM(S174:AC174)</f>
        <v>10000</v>
      </c>
    </row>
    <row r="175" spans="1:30" ht="28.8" x14ac:dyDescent="0.3">
      <c r="A175" s="1094"/>
      <c r="B175" s="774" t="s">
        <v>8</v>
      </c>
      <c r="C175" s="46" t="s">
        <v>13</v>
      </c>
      <c r="D175" s="23">
        <f>+R175+AD175</f>
        <v>65000</v>
      </c>
      <c r="E175" s="23"/>
      <c r="F175" s="74">
        <f t="shared" si="23"/>
        <v>65000</v>
      </c>
      <c r="G175" s="73">
        <f>+'F1,F2,F3,F4 (Desglose)'!H89</f>
        <v>0</v>
      </c>
      <c r="H175" s="73">
        <f>+'F1,F2,F3,F4 (Desglose)'!I89</f>
        <v>0</v>
      </c>
      <c r="I175" s="73">
        <f>+'F1,F2,F3,F4 (Desglose)'!J89</f>
        <v>15000</v>
      </c>
      <c r="J175" s="73">
        <f>+'F1,F2,F3,F4 (Desglose)'!K89</f>
        <v>15000</v>
      </c>
      <c r="K175" s="73">
        <f>+'F1,F2,F3,F4 (Desglose)'!L89</f>
        <v>0</v>
      </c>
      <c r="L175" s="73">
        <f>+'F1,F2,F3,F4 (Desglose)'!M89</f>
        <v>0</v>
      </c>
      <c r="M175" s="73">
        <f>+'F1,F2,F3,F4 (Desglose)'!N89</f>
        <v>0</v>
      </c>
      <c r="N175" s="73">
        <f>+'F1,F2,F3,F4 (Desglose)'!O89</f>
        <v>10000</v>
      </c>
      <c r="O175" s="73">
        <f>+'F1,F2,F3,F4 (Desglose)'!P89</f>
        <v>0</v>
      </c>
      <c r="P175" s="73">
        <f>+'F1,F2,F3,F4 (Desglose)'!Q89</f>
        <v>0</v>
      </c>
      <c r="Q175" s="73">
        <f>+'F1,F2,F3,F4 (Desglose)'!R89</f>
        <v>0</v>
      </c>
      <c r="R175" s="241">
        <f>SUM(G175:Q175)</f>
        <v>40000</v>
      </c>
      <c r="S175" s="73">
        <f>+'F1,F2,F3,F4 (Desglose)'!T89</f>
        <v>0</v>
      </c>
      <c r="T175" s="73">
        <f>+'F1,F2,F3,F4 (Desglose)'!U89</f>
        <v>15000</v>
      </c>
      <c r="U175" s="73">
        <f>+'F1,F2,F3,F4 (Desglose)'!V89</f>
        <v>0</v>
      </c>
      <c r="V175" s="73">
        <f>+'F1,F2,F3,F4 (Desglose)'!W89</f>
        <v>0</v>
      </c>
      <c r="W175" s="73">
        <f>+'F1,F2,F3,F4 (Desglose)'!X89</f>
        <v>10000</v>
      </c>
      <c r="X175" s="73">
        <f>+'F1,F2,F3,F4 (Desglose)'!Y89</f>
        <v>0</v>
      </c>
      <c r="Y175" s="73">
        <f>+'F1,F2,F3,F4 (Desglose)'!Z89</f>
        <v>0</v>
      </c>
      <c r="Z175" s="73">
        <f>+'F1,F2,F3,F4 (Desglose)'!AA89</f>
        <v>0</v>
      </c>
      <c r="AA175" s="73">
        <f>+'F1,F2,F3,F4 (Desglose)'!AB89</f>
        <v>0</v>
      </c>
      <c r="AB175" s="73">
        <f>+'F1,F2,F3,F4 (Desglose)'!AC89</f>
        <v>0</v>
      </c>
      <c r="AC175" s="73">
        <f>+'F1,F2,F3,F4 (Desglose)'!AD89</f>
        <v>0</v>
      </c>
      <c r="AD175" s="241">
        <f>SUM(S175:AC175)</f>
        <v>25000</v>
      </c>
    </row>
    <row r="176" spans="1:30" ht="23.25" customHeight="1" x14ac:dyDescent="0.3">
      <c r="A176" s="1094"/>
      <c r="B176" s="774" t="s">
        <v>9</v>
      </c>
      <c r="C176" s="46" t="s">
        <v>15</v>
      </c>
      <c r="D176" s="23">
        <f>+R176+AD176</f>
        <v>40000</v>
      </c>
      <c r="E176" s="23"/>
      <c r="F176" s="74">
        <f t="shared" si="23"/>
        <v>40000</v>
      </c>
      <c r="G176" s="73">
        <f>+'F1,F2,F3,F4 (Desglose)'!H90</f>
        <v>0</v>
      </c>
      <c r="H176" s="73">
        <f>+'F1,F2,F3,F4 (Desglose)'!I90</f>
        <v>0</v>
      </c>
      <c r="I176" s="73">
        <f>+'F1,F2,F3,F4 (Desglose)'!J90</f>
        <v>0</v>
      </c>
      <c r="J176" s="73">
        <f>+'F1,F2,F3,F4 (Desglose)'!K90</f>
        <v>20000</v>
      </c>
      <c r="K176" s="73">
        <f>+'F1,F2,F3,F4 (Desglose)'!L90</f>
        <v>0</v>
      </c>
      <c r="L176" s="73">
        <f>+'F1,F2,F3,F4 (Desglose)'!M90</f>
        <v>0</v>
      </c>
      <c r="M176" s="73">
        <f>+'F1,F2,F3,F4 (Desglose)'!N90</f>
        <v>0</v>
      </c>
      <c r="N176" s="73">
        <f>+'F1,F2,F3,F4 (Desglose)'!O90</f>
        <v>0</v>
      </c>
      <c r="O176" s="73">
        <f>+'F1,F2,F3,F4 (Desglose)'!P90</f>
        <v>0</v>
      </c>
      <c r="P176" s="73">
        <f>+'F1,F2,F3,F4 (Desglose)'!Q90</f>
        <v>0</v>
      </c>
      <c r="Q176" s="73">
        <f>+'F1,F2,F3,F4 (Desglose)'!R90</f>
        <v>0</v>
      </c>
      <c r="R176" s="241">
        <f>SUM(G176:Q176)</f>
        <v>20000</v>
      </c>
      <c r="S176" s="73">
        <f>+'F1,F2,F3,F4 (Desglose)'!T90</f>
        <v>0</v>
      </c>
      <c r="T176" s="73">
        <f>+'F1,F2,F3,F4 (Desglose)'!U90</f>
        <v>20000</v>
      </c>
      <c r="U176" s="73">
        <f>+'F1,F2,F3,F4 (Desglose)'!V90</f>
        <v>0</v>
      </c>
      <c r="V176" s="73">
        <f>+'F1,F2,F3,F4 (Desglose)'!W90</f>
        <v>0</v>
      </c>
      <c r="W176" s="73">
        <f>+'F1,F2,F3,F4 (Desglose)'!X90</f>
        <v>0</v>
      </c>
      <c r="X176" s="73">
        <f>+'F1,F2,F3,F4 (Desglose)'!Y90</f>
        <v>0</v>
      </c>
      <c r="Y176" s="73">
        <f>+'F1,F2,F3,F4 (Desglose)'!Z90</f>
        <v>0</v>
      </c>
      <c r="Z176" s="73">
        <f>+'F1,F2,F3,F4 (Desglose)'!AA90</f>
        <v>0</v>
      </c>
      <c r="AA176" s="73">
        <f>+'F1,F2,F3,F4 (Desglose)'!AB90</f>
        <v>0</v>
      </c>
      <c r="AB176" s="73">
        <f>+'F1,F2,F3,F4 (Desglose)'!AC90</f>
        <v>0</v>
      </c>
      <c r="AC176" s="73">
        <f>+'F1,F2,F3,F4 (Desglose)'!AD90</f>
        <v>0</v>
      </c>
      <c r="AD176" s="241">
        <f>SUM(S176:AC176)</f>
        <v>20000</v>
      </c>
    </row>
    <row r="177" spans="1:30" s="67" customFormat="1" x14ac:dyDescent="0.3">
      <c r="A177" s="1094" t="s">
        <v>14</v>
      </c>
      <c r="B177" s="90"/>
      <c r="C177" s="107"/>
      <c r="D177" s="91">
        <f>SUM(D178:D179)</f>
        <v>178502.05</v>
      </c>
      <c r="E177" s="91">
        <f>SUM(E178:E179)</f>
        <v>0</v>
      </c>
      <c r="F177" s="91">
        <f t="shared" si="23"/>
        <v>178502.05</v>
      </c>
      <c r="G177" s="77">
        <f>SUM(G178:G179)</f>
        <v>0</v>
      </c>
      <c r="H177" s="77">
        <f t="shared" ref="H177:AD177" si="28">SUM(H178:H179)</f>
        <v>5150</v>
      </c>
      <c r="I177" s="77">
        <f t="shared" si="28"/>
        <v>6000</v>
      </c>
      <c r="J177" s="77">
        <f t="shared" si="28"/>
        <v>6000</v>
      </c>
      <c r="K177" s="77">
        <f t="shared" si="28"/>
        <v>0</v>
      </c>
      <c r="L177" s="77">
        <f t="shared" si="28"/>
        <v>0</v>
      </c>
      <c r="M177" s="77">
        <f t="shared" si="28"/>
        <v>5000</v>
      </c>
      <c r="N177" s="77">
        <f t="shared" si="28"/>
        <v>15000</v>
      </c>
      <c r="O177" s="77">
        <f t="shared" si="28"/>
        <v>11000</v>
      </c>
      <c r="P177" s="77">
        <f t="shared" si="28"/>
        <v>27352.05</v>
      </c>
      <c r="Q177" s="77">
        <f t="shared" si="28"/>
        <v>0</v>
      </c>
      <c r="R177" s="77">
        <f t="shared" si="28"/>
        <v>75502.05</v>
      </c>
      <c r="S177" s="98">
        <f t="shared" si="28"/>
        <v>0</v>
      </c>
      <c r="T177" s="77">
        <f t="shared" si="28"/>
        <v>35000</v>
      </c>
      <c r="U177" s="77">
        <f t="shared" si="28"/>
        <v>5000</v>
      </c>
      <c r="V177" s="77">
        <f t="shared" si="28"/>
        <v>5000</v>
      </c>
      <c r="W177" s="77">
        <f t="shared" si="28"/>
        <v>5000</v>
      </c>
      <c r="X177" s="77">
        <f t="shared" si="28"/>
        <v>15000</v>
      </c>
      <c r="Y177" s="77">
        <f t="shared" si="28"/>
        <v>5000</v>
      </c>
      <c r="Z177" s="77">
        <f t="shared" si="28"/>
        <v>3000</v>
      </c>
      <c r="AA177" s="77">
        <f t="shared" si="28"/>
        <v>25000</v>
      </c>
      <c r="AB177" s="77">
        <f t="shared" si="28"/>
        <v>0</v>
      </c>
      <c r="AC177" s="77">
        <f t="shared" si="28"/>
        <v>5000</v>
      </c>
      <c r="AD177" s="77">
        <f t="shared" si="28"/>
        <v>103000</v>
      </c>
    </row>
    <row r="178" spans="1:30" ht="33.75" customHeight="1" x14ac:dyDescent="0.3">
      <c r="A178" s="1094"/>
      <c r="B178" s="1" t="s">
        <v>2</v>
      </c>
      <c r="C178" s="2" t="s">
        <v>16</v>
      </c>
      <c r="D178" s="23">
        <f>+R178+AD178</f>
        <v>80650</v>
      </c>
      <c r="E178" s="23"/>
      <c r="F178" s="74">
        <f t="shared" si="23"/>
        <v>80650</v>
      </c>
      <c r="G178" s="78">
        <f>+'F1,F2,F3,F4 (Desglose)'!H92</f>
        <v>0</v>
      </c>
      <c r="H178" s="78">
        <f>+'F1,F2,F3,F4 (Desglose)'!I92</f>
        <v>1650</v>
      </c>
      <c r="I178" s="78">
        <f>+'F1,F2,F3,F4 (Desglose)'!J92</f>
        <v>3000</v>
      </c>
      <c r="J178" s="78">
        <f>+'F1,F2,F3,F4 (Desglose)'!K92</f>
        <v>3000</v>
      </c>
      <c r="K178" s="78">
        <f>+'F1,F2,F3,F4 (Desglose)'!L92</f>
        <v>0</v>
      </c>
      <c r="L178" s="78">
        <f>+'F1,F2,F3,F4 (Desglose)'!M92</f>
        <v>0</v>
      </c>
      <c r="M178" s="78">
        <f>+'F1,F2,F3,F4 (Desglose)'!N92</f>
        <v>5000</v>
      </c>
      <c r="N178" s="78">
        <f>+'F1,F2,F3,F4 (Desglose)'!O92</f>
        <v>5000</v>
      </c>
      <c r="O178" s="78">
        <f>+'F1,F2,F3,F4 (Desglose)'!P92</f>
        <v>5000</v>
      </c>
      <c r="P178" s="78">
        <f>+'F1,F2,F3,F4 (Desglose)'!Q92</f>
        <v>5000</v>
      </c>
      <c r="Q178" s="78">
        <f>+'F1,F2,F3,F4 (Desglose)'!R92</f>
        <v>0</v>
      </c>
      <c r="R178" s="406">
        <f>SUM(G178:Q178)</f>
        <v>27650</v>
      </c>
      <c r="S178" s="78">
        <f>+'F1,F2,F3,F4 (Desglose)'!T92</f>
        <v>0</v>
      </c>
      <c r="T178" s="78">
        <f>+'F1,F2,F3,F4 (Desglose)'!U92</f>
        <v>15000</v>
      </c>
      <c r="U178" s="78">
        <f>+'F1,F2,F3,F4 (Desglose)'!V92</f>
        <v>5000</v>
      </c>
      <c r="V178" s="78">
        <f>+'F1,F2,F3,F4 (Desglose)'!W92</f>
        <v>5000</v>
      </c>
      <c r="W178" s="78">
        <f>+'F1,F2,F3,F4 (Desglose)'!X92</f>
        <v>5000</v>
      </c>
      <c r="X178" s="78">
        <f>+'F1,F2,F3,F4 (Desglose)'!Y92</f>
        <v>5000</v>
      </c>
      <c r="Y178" s="78">
        <f>+'F1,F2,F3,F4 (Desglose)'!Z92</f>
        <v>5000</v>
      </c>
      <c r="Z178" s="78">
        <f>+'F1,F2,F3,F4 (Desglose)'!AA92</f>
        <v>3000</v>
      </c>
      <c r="AA178" s="78">
        <f>+'F1,F2,F3,F4 (Desglose)'!AB92</f>
        <v>5000</v>
      </c>
      <c r="AB178" s="78">
        <f>+'F1,F2,F3,F4 (Desglose)'!AC92</f>
        <v>0</v>
      </c>
      <c r="AC178" s="78">
        <f>+'F1,F2,F3,F4 (Desglose)'!AD92</f>
        <v>5000</v>
      </c>
      <c r="AD178" s="406">
        <f>SUM(S178:AC178)</f>
        <v>53000</v>
      </c>
    </row>
    <row r="179" spans="1:30" ht="58.5" customHeight="1" x14ac:dyDescent="0.3">
      <c r="A179" s="1094"/>
      <c r="B179" s="774" t="s">
        <v>3</v>
      </c>
      <c r="C179" s="46" t="s">
        <v>11</v>
      </c>
      <c r="D179" s="23">
        <f>+R179+AD179</f>
        <v>97852.05</v>
      </c>
      <c r="E179" s="23"/>
      <c r="F179" s="74">
        <f t="shared" si="23"/>
        <v>97852.05</v>
      </c>
      <c r="G179" s="78">
        <f>+'F1,F2,F3,F4 (Desglose)'!H93</f>
        <v>0</v>
      </c>
      <c r="H179" s="78">
        <f>+'F1,F2,F3,F4 (Desglose)'!I93</f>
        <v>3500</v>
      </c>
      <c r="I179" s="78">
        <f>+'F1,F2,F3,F4 (Desglose)'!J93</f>
        <v>3000</v>
      </c>
      <c r="J179" s="78">
        <f>+'F1,F2,F3,F4 (Desglose)'!K93</f>
        <v>3000</v>
      </c>
      <c r="K179" s="78">
        <f>+'F1,F2,F3,F4 (Desglose)'!L93</f>
        <v>0</v>
      </c>
      <c r="L179" s="78">
        <f>+'F1,F2,F3,F4 (Desglose)'!M93</f>
        <v>0</v>
      </c>
      <c r="M179" s="78">
        <f>+'F1,F2,F3,F4 (Desglose)'!N93</f>
        <v>0</v>
      </c>
      <c r="N179" s="78">
        <f>+'F1,F2,F3,F4 (Desglose)'!O93</f>
        <v>10000</v>
      </c>
      <c r="O179" s="78">
        <f>+'F1,F2,F3,F4 (Desglose)'!P93</f>
        <v>6000</v>
      </c>
      <c r="P179" s="78">
        <f>+'F1,F2,F3,F4 (Desglose)'!Q93</f>
        <v>22352.05</v>
      </c>
      <c r="Q179" s="78">
        <f>+'F1,F2,F3,F4 (Desglose)'!R93</f>
        <v>0</v>
      </c>
      <c r="R179" s="406">
        <f>SUM(G179:Q179)</f>
        <v>47852.05</v>
      </c>
      <c r="S179" s="78">
        <f>+'F1,F2,F3,F4 (Desglose)'!T93</f>
        <v>0</v>
      </c>
      <c r="T179" s="78">
        <f>+'F1,F2,F3,F4 (Desglose)'!U93</f>
        <v>20000</v>
      </c>
      <c r="U179" s="78">
        <f>+'F1,F2,F3,F4 (Desglose)'!V93</f>
        <v>0</v>
      </c>
      <c r="V179" s="78">
        <f>+'F1,F2,F3,F4 (Desglose)'!W93</f>
        <v>0</v>
      </c>
      <c r="W179" s="78">
        <f>+'F1,F2,F3,F4 (Desglose)'!X93</f>
        <v>0</v>
      </c>
      <c r="X179" s="78">
        <f>+'F1,F2,F3,F4 (Desglose)'!Y93</f>
        <v>10000</v>
      </c>
      <c r="Y179" s="78">
        <f>+'F1,F2,F3,F4 (Desglose)'!Z93</f>
        <v>0</v>
      </c>
      <c r="Z179" s="78">
        <f>+'F1,F2,F3,F4 (Desglose)'!AA93</f>
        <v>0</v>
      </c>
      <c r="AA179" s="78">
        <f>+'F1,F2,F3,F4 (Desglose)'!AB93</f>
        <v>20000</v>
      </c>
      <c r="AB179" s="78">
        <f>+'F1,F2,F3,F4 (Desglose)'!AC93</f>
        <v>0</v>
      </c>
      <c r="AC179" s="78">
        <f>+'F1,F2,F3,F4 (Desglose)'!AD93</f>
        <v>0</v>
      </c>
      <c r="AD179" s="406">
        <f>SUM(S179:AC179)</f>
        <v>50000</v>
      </c>
    </row>
    <row r="180" spans="1:30" x14ac:dyDescent="0.3">
      <c r="A180" s="1094" t="s">
        <v>19</v>
      </c>
      <c r="B180" s="43"/>
      <c r="C180" s="106"/>
      <c r="D180" s="75">
        <f>SUM(D181:D184)</f>
        <v>520560.6</v>
      </c>
      <c r="E180" s="75">
        <f>SUM(E181:E184)</f>
        <v>0</v>
      </c>
      <c r="F180" s="75">
        <f t="shared" si="23"/>
        <v>520560.6</v>
      </c>
      <c r="G180" s="75">
        <f>SUM(G181:G184)</f>
        <v>720</v>
      </c>
      <c r="H180" s="75">
        <f t="shared" ref="H180:AD180" si="29">SUM(H181:H184)</f>
        <v>19530</v>
      </c>
      <c r="I180" s="75">
        <f t="shared" si="29"/>
        <v>94440.6</v>
      </c>
      <c r="J180" s="75">
        <f t="shared" si="29"/>
        <v>3000</v>
      </c>
      <c r="K180" s="75">
        <f t="shared" si="29"/>
        <v>3000</v>
      </c>
      <c r="L180" s="75">
        <f t="shared" si="29"/>
        <v>30000</v>
      </c>
      <c r="M180" s="75">
        <f t="shared" si="29"/>
        <v>3000</v>
      </c>
      <c r="N180" s="75">
        <f t="shared" si="29"/>
        <v>52927.09</v>
      </c>
      <c r="O180" s="75">
        <f t="shared" si="29"/>
        <v>3000</v>
      </c>
      <c r="P180" s="75">
        <f t="shared" si="29"/>
        <v>23000</v>
      </c>
      <c r="Q180" s="75">
        <f t="shared" si="29"/>
        <v>42542.91</v>
      </c>
      <c r="R180" s="75">
        <f t="shared" si="29"/>
        <v>275160.59999999998</v>
      </c>
      <c r="S180" s="75">
        <f t="shared" si="29"/>
        <v>0</v>
      </c>
      <c r="T180" s="75">
        <f t="shared" si="29"/>
        <v>50000</v>
      </c>
      <c r="U180" s="75">
        <f t="shared" si="29"/>
        <v>23000</v>
      </c>
      <c r="V180" s="75">
        <f t="shared" si="29"/>
        <v>3000</v>
      </c>
      <c r="W180" s="75">
        <f t="shared" si="29"/>
        <v>45400</v>
      </c>
      <c r="X180" s="75">
        <f t="shared" si="29"/>
        <v>3000</v>
      </c>
      <c r="Y180" s="75">
        <f t="shared" si="29"/>
        <v>23000</v>
      </c>
      <c r="Z180" s="75">
        <f t="shared" si="29"/>
        <v>39000</v>
      </c>
      <c r="AA180" s="75">
        <f t="shared" si="29"/>
        <v>3000</v>
      </c>
      <c r="AB180" s="75">
        <f t="shared" si="29"/>
        <v>55000</v>
      </c>
      <c r="AC180" s="75">
        <f t="shared" si="29"/>
        <v>1000</v>
      </c>
      <c r="AD180" s="75">
        <f t="shared" si="29"/>
        <v>245400</v>
      </c>
    </row>
    <row r="181" spans="1:30" ht="36.75" customHeight="1" x14ac:dyDescent="0.3">
      <c r="A181" s="1094"/>
      <c r="B181" s="1" t="s">
        <v>2</v>
      </c>
      <c r="C181" s="3" t="s">
        <v>17</v>
      </c>
      <c r="D181" s="23">
        <f>+R181+AD181</f>
        <v>191840.6</v>
      </c>
      <c r="E181" s="23"/>
      <c r="F181" s="74">
        <f t="shared" si="23"/>
        <v>191840.6</v>
      </c>
      <c r="G181" s="78">
        <f>+'F1,F2,F3,F4 (Desglose)'!H96</f>
        <v>0</v>
      </c>
      <c r="H181" s="78">
        <f>+'F1,F2,F3,F4 (Desglose)'!I96</f>
        <v>1530</v>
      </c>
      <c r="I181" s="78">
        <f>+'F1,F2,F3,F4 (Desglose)'!J96</f>
        <v>64440.6</v>
      </c>
      <c r="J181" s="78">
        <f>+'F1,F2,F3,F4 (Desglose)'!K96</f>
        <v>1000</v>
      </c>
      <c r="K181" s="78">
        <f>+'F1,F2,F3,F4 (Desglose)'!L96</f>
        <v>1000</v>
      </c>
      <c r="L181" s="78">
        <f>+'F1,F2,F3,F4 (Desglose)'!M96</f>
        <v>10000</v>
      </c>
      <c r="M181" s="78">
        <f>+'F1,F2,F3,F4 (Desglose)'!N96</f>
        <v>1000</v>
      </c>
      <c r="N181" s="78">
        <f>+'F1,F2,F3,F4 (Desglose)'!O96</f>
        <v>14470</v>
      </c>
      <c r="O181" s="78">
        <f>+'F1,F2,F3,F4 (Desglose)'!P96</f>
        <v>1000</v>
      </c>
      <c r="P181" s="78">
        <f>+'F1,F2,F3,F4 (Desglose)'!Q96</f>
        <v>1000</v>
      </c>
      <c r="Q181" s="78">
        <f>+'F1,F2,F3,F4 (Desglose)'!R96</f>
        <v>16000</v>
      </c>
      <c r="R181" s="406">
        <f>SUM(G181:Q181)</f>
        <v>111440.6</v>
      </c>
      <c r="S181" s="78">
        <f>+'F1,F2,F3,F4 (Desglose)'!T96</f>
        <v>0</v>
      </c>
      <c r="T181" s="78">
        <f>+'F1,F2,F3,F4 (Desglose)'!U96</f>
        <v>25000</v>
      </c>
      <c r="U181" s="78">
        <f>+'F1,F2,F3,F4 (Desglose)'!V96</f>
        <v>1000</v>
      </c>
      <c r="V181" s="78">
        <f>+'F1,F2,F3,F4 (Desglose)'!W96</f>
        <v>1000</v>
      </c>
      <c r="W181" s="78">
        <f>+'F1,F2,F3,F4 (Desglose)'!X96</f>
        <v>20400</v>
      </c>
      <c r="X181" s="78">
        <f>+'F1,F2,F3,F4 (Desglose)'!Y96</f>
        <v>1000</v>
      </c>
      <c r="Y181" s="78">
        <f>+'F1,F2,F3,F4 (Desglose)'!Z96</f>
        <v>1000</v>
      </c>
      <c r="Z181" s="78">
        <f>+'F1,F2,F3,F4 (Desglose)'!AA96</f>
        <v>15000</v>
      </c>
      <c r="AA181" s="78">
        <f>+'F1,F2,F3,F4 (Desglose)'!AB96</f>
        <v>1000</v>
      </c>
      <c r="AB181" s="78">
        <f>+'F1,F2,F3,F4 (Desglose)'!AC96</f>
        <v>15000</v>
      </c>
      <c r="AC181" s="78">
        <f>+'F1,F2,F3,F4 (Desglose)'!AD96</f>
        <v>0</v>
      </c>
      <c r="AD181" s="406">
        <f>SUM(S181:AC181)</f>
        <v>80400</v>
      </c>
    </row>
    <row r="182" spans="1:30" ht="39" customHeight="1" x14ac:dyDescent="0.3">
      <c r="A182" s="1094"/>
      <c r="B182" s="1" t="s">
        <v>3</v>
      </c>
      <c r="C182" s="2" t="s">
        <v>88</v>
      </c>
      <c r="D182" s="23">
        <f>+R182+AD182</f>
        <v>119000</v>
      </c>
      <c r="E182" s="23"/>
      <c r="F182" s="74">
        <f t="shared" si="23"/>
        <v>119000</v>
      </c>
      <c r="G182" s="78">
        <f>+'F1,F2,F3,F4 (Desglose)'!H97</f>
        <v>0</v>
      </c>
      <c r="H182" s="78">
        <f>+'F1,F2,F3,F4 (Desglose)'!I97</f>
        <v>0</v>
      </c>
      <c r="I182" s="78">
        <f>+'F1,F2,F3,F4 (Desglose)'!J97</f>
        <v>15000</v>
      </c>
      <c r="J182" s="78">
        <f>+'F1,F2,F3,F4 (Desglose)'!K97</f>
        <v>1000</v>
      </c>
      <c r="K182" s="78">
        <f>+'F1,F2,F3,F4 (Desglose)'!L97</f>
        <v>1000</v>
      </c>
      <c r="L182" s="78">
        <f>+'F1,F2,F3,F4 (Desglose)'!M97</f>
        <v>10000</v>
      </c>
      <c r="M182" s="78">
        <f>+'F1,F2,F3,F4 (Desglose)'!N97</f>
        <v>1000</v>
      </c>
      <c r="N182" s="78">
        <f>+'F1,F2,F3,F4 (Desglose)'!O97</f>
        <v>14000</v>
      </c>
      <c r="O182" s="78">
        <f>+'F1,F2,F3,F4 (Desglose)'!P97</f>
        <v>1000</v>
      </c>
      <c r="P182" s="78">
        <f>+'F1,F2,F3,F4 (Desglose)'!Q97</f>
        <v>1000</v>
      </c>
      <c r="Q182" s="78">
        <f>+'F1,F2,F3,F4 (Desglose)'!R97</f>
        <v>16000</v>
      </c>
      <c r="R182" s="406">
        <f>SUM(G182:Q182)</f>
        <v>60000</v>
      </c>
      <c r="S182" s="78">
        <f>+'F1,F2,F3,F4 (Desglose)'!T97</f>
        <v>0</v>
      </c>
      <c r="T182" s="78">
        <f>+'F1,F2,F3,F4 (Desglose)'!U97</f>
        <v>15000</v>
      </c>
      <c r="U182" s="78">
        <f>+'F1,F2,F3,F4 (Desglose)'!V97</f>
        <v>1000</v>
      </c>
      <c r="V182" s="78">
        <f>+'F1,F2,F3,F4 (Desglose)'!W97</f>
        <v>1000</v>
      </c>
      <c r="W182" s="78">
        <f>+'F1,F2,F3,F4 (Desglose)'!X97</f>
        <v>15000</v>
      </c>
      <c r="X182" s="78">
        <f>+'F1,F2,F3,F4 (Desglose)'!Y97</f>
        <v>1000</v>
      </c>
      <c r="Y182" s="78">
        <f>+'F1,F2,F3,F4 (Desglose)'!Z97</f>
        <v>1000</v>
      </c>
      <c r="Z182" s="78">
        <f>+'F1,F2,F3,F4 (Desglose)'!AA97</f>
        <v>12000</v>
      </c>
      <c r="AA182" s="78">
        <f>+'F1,F2,F3,F4 (Desglose)'!AB97</f>
        <v>1000</v>
      </c>
      <c r="AB182" s="78">
        <f>+'F1,F2,F3,F4 (Desglose)'!AC97</f>
        <v>12000</v>
      </c>
      <c r="AC182" s="78">
        <f>+'F1,F2,F3,F4 (Desglose)'!AD97</f>
        <v>0</v>
      </c>
      <c r="AD182" s="406">
        <f>SUM(S182:AC182)</f>
        <v>59000</v>
      </c>
    </row>
    <row r="183" spans="1:30" ht="71.25" customHeight="1" x14ac:dyDescent="0.3">
      <c r="A183" s="1094"/>
      <c r="B183" s="1" t="s">
        <v>4</v>
      </c>
      <c r="C183" s="3" t="s">
        <v>596</v>
      </c>
      <c r="D183" s="23">
        <f>+R183+AD183</f>
        <v>95720</v>
      </c>
      <c r="E183" s="23"/>
      <c r="F183" s="74">
        <f t="shared" si="23"/>
        <v>95720</v>
      </c>
      <c r="G183" s="78">
        <f>+'F1,F2,F3,F4 (Desglose)'!H98</f>
        <v>720</v>
      </c>
      <c r="H183" s="78">
        <f>+'F1,F2,F3,F4 (Desglose)'!I98</f>
        <v>0</v>
      </c>
      <c r="I183" s="78">
        <f>+'F1,F2,F3,F4 (Desglose)'!J98</f>
        <v>15000</v>
      </c>
      <c r="J183" s="78">
        <f>+'F1,F2,F3,F4 (Desglose)'!K98</f>
        <v>1000</v>
      </c>
      <c r="K183" s="78">
        <f>+'F1,F2,F3,F4 (Desglose)'!L98</f>
        <v>1000</v>
      </c>
      <c r="L183" s="78">
        <f>+'F1,F2,F3,F4 (Desglose)'!M98</f>
        <v>10000</v>
      </c>
      <c r="M183" s="78">
        <f>+'F1,F2,F3,F4 (Desglose)'!N98</f>
        <v>1000</v>
      </c>
      <c r="N183" s="78">
        <f>+'F1,F2,F3,F4 (Desglose)'!O98</f>
        <v>6457.09</v>
      </c>
      <c r="O183" s="78">
        <f>+'F1,F2,F3,F4 (Desglose)'!P98</f>
        <v>1000</v>
      </c>
      <c r="P183" s="78">
        <f>+'F1,F2,F3,F4 (Desglose)'!Q98</f>
        <v>1000</v>
      </c>
      <c r="Q183" s="78">
        <f>+'F1,F2,F3,F4 (Desglose)'!R98</f>
        <v>10542.91</v>
      </c>
      <c r="R183" s="406">
        <f>SUM(G183:Q183)</f>
        <v>47720</v>
      </c>
      <c r="S183" s="78">
        <f>+'F1,F2,F3,F4 (Desglose)'!T98</f>
        <v>0</v>
      </c>
      <c r="T183" s="78">
        <f>+'F1,F2,F3,F4 (Desglose)'!U98</f>
        <v>10000</v>
      </c>
      <c r="U183" s="78">
        <f>+'F1,F2,F3,F4 (Desglose)'!V98</f>
        <v>1000</v>
      </c>
      <c r="V183" s="78">
        <f>+'F1,F2,F3,F4 (Desglose)'!W98</f>
        <v>1000</v>
      </c>
      <c r="W183" s="78">
        <f>+'F1,F2,F3,F4 (Desglose)'!X98</f>
        <v>10000</v>
      </c>
      <c r="X183" s="78">
        <f>+'F1,F2,F3,F4 (Desglose)'!Y98</f>
        <v>1000</v>
      </c>
      <c r="Y183" s="78">
        <f>+'F1,F2,F3,F4 (Desglose)'!Z98</f>
        <v>1000</v>
      </c>
      <c r="Z183" s="78">
        <f>+'F1,F2,F3,F4 (Desglose)'!AA98</f>
        <v>12000</v>
      </c>
      <c r="AA183" s="78">
        <f>+'F1,F2,F3,F4 (Desglose)'!AB98</f>
        <v>1000</v>
      </c>
      <c r="AB183" s="78">
        <f>+'F1,F2,F3,F4 (Desglose)'!AC98</f>
        <v>10000</v>
      </c>
      <c r="AC183" s="78">
        <f>+'F1,F2,F3,F4 (Desglose)'!AD98</f>
        <v>1000</v>
      </c>
      <c r="AD183" s="406">
        <f>SUM(S183:AC183)</f>
        <v>48000</v>
      </c>
    </row>
    <row r="184" spans="1:30" ht="22.5" customHeight="1" x14ac:dyDescent="0.3">
      <c r="A184" s="1094"/>
      <c r="B184" s="1" t="s">
        <v>8</v>
      </c>
      <c r="C184" s="2" t="s">
        <v>18</v>
      </c>
      <c r="D184" s="23">
        <f>+R184+AD184</f>
        <v>114000</v>
      </c>
      <c r="E184" s="23"/>
      <c r="F184" s="74">
        <f t="shared" si="23"/>
        <v>114000</v>
      </c>
      <c r="G184" s="78">
        <f>+'F1,F2,F3,F4 (Desglose)'!H99</f>
        <v>0</v>
      </c>
      <c r="H184" s="78">
        <f>+'F1,F2,F3,F4 (Desglose)'!I99</f>
        <v>18000</v>
      </c>
      <c r="I184" s="78">
        <f>+'F1,F2,F3,F4 (Desglose)'!J99</f>
        <v>0</v>
      </c>
      <c r="J184" s="78">
        <f>+'F1,F2,F3,F4 (Desglose)'!K99</f>
        <v>0</v>
      </c>
      <c r="K184" s="78">
        <f>+'F1,F2,F3,F4 (Desglose)'!L99</f>
        <v>0</v>
      </c>
      <c r="L184" s="78">
        <f>+'F1,F2,F3,F4 (Desglose)'!M99</f>
        <v>0</v>
      </c>
      <c r="M184" s="78">
        <f>+'F1,F2,F3,F4 (Desglose)'!N99</f>
        <v>0</v>
      </c>
      <c r="N184" s="78">
        <f>+'F1,F2,F3,F4 (Desglose)'!O99</f>
        <v>18000</v>
      </c>
      <c r="O184" s="78">
        <f>+'F1,F2,F3,F4 (Desglose)'!P99</f>
        <v>0</v>
      </c>
      <c r="P184" s="78">
        <f>+'F1,F2,F3,F4 (Desglose)'!Q99</f>
        <v>20000</v>
      </c>
      <c r="Q184" s="78">
        <f>+'F1,F2,F3,F4 (Desglose)'!R99</f>
        <v>0</v>
      </c>
      <c r="R184" s="406">
        <f>SUM(G184:Q184)</f>
        <v>56000</v>
      </c>
      <c r="S184" s="78">
        <f>+'F1,F2,F3,F4 (Desglose)'!T99</f>
        <v>0</v>
      </c>
      <c r="T184" s="78">
        <f>+'F1,F2,F3,F4 (Desglose)'!U99</f>
        <v>0</v>
      </c>
      <c r="U184" s="78">
        <f>+'F1,F2,F3,F4 (Desglose)'!V99</f>
        <v>20000</v>
      </c>
      <c r="V184" s="78">
        <f>+'F1,F2,F3,F4 (Desglose)'!W99</f>
        <v>0</v>
      </c>
      <c r="W184" s="78">
        <f>+'F1,F2,F3,F4 (Desglose)'!X99</f>
        <v>0</v>
      </c>
      <c r="X184" s="78">
        <f>+'F1,F2,F3,F4 (Desglose)'!Y99</f>
        <v>0</v>
      </c>
      <c r="Y184" s="78">
        <f>+'F1,F2,F3,F4 (Desglose)'!Z99</f>
        <v>20000</v>
      </c>
      <c r="Z184" s="78">
        <f>+'F1,F2,F3,F4 (Desglose)'!AA99</f>
        <v>0</v>
      </c>
      <c r="AA184" s="78">
        <f>+'F1,F2,F3,F4 (Desglose)'!AB99</f>
        <v>0</v>
      </c>
      <c r="AB184" s="78">
        <f>+'F1,F2,F3,F4 (Desglose)'!AC99</f>
        <v>18000</v>
      </c>
      <c r="AC184" s="78">
        <f>+'F1,F2,F3,F4 (Desglose)'!AD99</f>
        <v>0</v>
      </c>
      <c r="AD184" s="406">
        <f>SUM(S184:AC184)</f>
        <v>58000</v>
      </c>
    </row>
    <row r="185" spans="1:30" s="89" customFormat="1" ht="27.75" customHeight="1" x14ac:dyDescent="0.3">
      <c r="A185" s="1113" t="s">
        <v>26</v>
      </c>
      <c r="B185" s="1113"/>
      <c r="C185" s="1113"/>
      <c r="D185" s="128">
        <f>+D187</f>
        <v>1198000</v>
      </c>
      <c r="E185" s="128">
        <f>+E187</f>
        <v>0</v>
      </c>
      <c r="F185" s="128">
        <f t="shared" si="23"/>
        <v>1198000</v>
      </c>
      <c r="G185" s="128">
        <f>+G187</f>
        <v>18000</v>
      </c>
      <c r="H185" s="128">
        <f t="shared" ref="H185:AD185" si="30">+H187</f>
        <v>18000</v>
      </c>
      <c r="I185" s="128">
        <f t="shared" si="30"/>
        <v>23000</v>
      </c>
      <c r="J185" s="128">
        <f t="shared" si="30"/>
        <v>75100</v>
      </c>
      <c r="K185" s="128">
        <f t="shared" si="30"/>
        <v>76500</v>
      </c>
      <c r="L185" s="128">
        <f t="shared" si="30"/>
        <v>52400</v>
      </c>
      <c r="M185" s="128">
        <f t="shared" si="30"/>
        <v>32000</v>
      </c>
      <c r="N185" s="128">
        <f t="shared" si="30"/>
        <v>42000</v>
      </c>
      <c r="O185" s="128">
        <f t="shared" si="30"/>
        <v>42000</v>
      </c>
      <c r="P185" s="128">
        <f t="shared" si="30"/>
        <v>132000</v>
      </c>
      <c r="Q185" s="128">
        <f t="shared" si="30"/>
        <v>42000</v>
      </c>
      <c r="R185" s="128">
        <f t="shared" si="30"/>
        <v>553000</v>
      </c>
      <c r="S185" s="129">
        <f t="shared" si="30"/>
        <v>32000</v>
      </c>
      <c r="T185" s="128">
        <f t="shared" si="30"/>
        <v>42000</v>
      </c>
      <c r="U185" s="128">
        <f t="shared" si="30"/>
        <v>37000</v>
      </c>
      <c r="V185" s="128">
        <f t="shared" si="30"/>
        <v>37000</v>
      </c>
      <c r="W185" s="128">
        <f t="shared" si="30"/>
        <v>37000</v>
      </c>
      <c r="X185" s="128">
        <f t="shared" si="30"/>
        <v>37000</v>
      </c>
      <c r="Y185" s="128">
        <f t="shared" si="30"/>
        <v>37000</v>
      </c>
      <c r="Z185" s="128">
        <f t="shared" si="30"/>
        <v>37000</v>
      </c>
      <c r="AA185" s="128">
        <f t="shared" si="30"/>
        <v>37000</v>
      </c>
      <c r="AB185" s="128">
        <f t="shared" si="30"/>
        <v>37000</v>
      </c>
      <c r="AC185" s="128">
        <f t="shared" si="30"/>
        <v>275000</v>
      </c>
      <c r="AD185" s="128">
        <f t="shared" si="30"/>
        <v>645000</v>
      </c>
    </row>
    <row r="186" spans="1:30" x14ac:dyDescent="0.3">
      <c r="A186" s="100" t="s">
        <v>27</v>
      </c>
      <c r="B186" s="43"/>
      <c r="C186" s="106"/>
      <c r="D186" s="65" t="e">
        <f>+S186+#REF!</f>
        <v>#REF!</v>
      </c>
      <c r="E186" s="65" t="e">
        <f>+T186+D186</f>
        <v>#REF!</v>
      </c>
      <c r="F186" s="56" t="e">
        <f t="shared" si="23"/>
        <v>#REF!</v>
      </c>
      <c r="G186" s="68"/>
      <c r="H186" s="68"/>
      <c r="I186" s="68"/>
      <c r="J186" s="68"/>
      <c r="K186" s="68"/>
      <c r="L186" s="68"/>
      <c r="M186" s="68"/>
      <c r="N186" s="68"/>
      <c r="O186" s="68"/>
      <c r="P186" s="68"/>
      <c r="Q186" s="68"/>
      <c r="R186" s="56"/>
      <c r="S186" s="93"/>
      <c r="T186" s="68"/>
      <c r="U186" s="68"/>
      <c r="V186" s="68"/>
      <c r="W186" s="68"/>
      <c r="X186" s="68"/>
      <c r="Y186" s="68"/>
      <c r="Z186" s="68"/>
      <c r="AA186" s="68"/>
      <c r="AB186" s="68"/>
      <c r="AC186" s="68"/>
      <c r="AD186" s="56"/>
    </row>
    <row r="187" spans="1:30" x14ac:dyDescent="0.3">
      <c r="A187" s="770" t="s">
        <v>28</v>
      </c>
      <c r="B187" s="20"/>
      <c r="C187" s="102"/>
      <c r="D187" s="69">
        <f>+D188+D193</f>
        <v>1198000</v>
      </c>
      <c r="E187" s="69">
        <f>+E188+E193</f>
        <v>0</v>
      </c>
      <c r="F187" s="69">
        <f t="shared" si="23"/>
        <v>1198000</v>
      </c>
      <c r="G187" s="69">
        <f>+G188+G193</f>
        <v>18000</v>
      </c>
      <c r="H187" s="69">
        <f t="shared" ref="H187:AD187" si="31">+H188+H193</f>
        <v>18000</v>
      </c>
      <c r="I187" s="69">
        <f t="shared" si="31"/>
        <v>23000</v>
      </c>
      <c r="J187" s="69">
        <f t="shared" si="31"/>
        <v>75100</v>
      </c>
      <c r="K187" s="69">
        <f t="shared" si="31"/>
        <v>76500</v>
      </c>
      <c r="L187" s="69">
        <f t="shared" si="31"/>
        <v>52400</v>
      </c>
      <c r="M187" s="69">
        <f t="shared" si="31"/>
        <v>32000</v>
      </c>
      <c r="N187" s="69">
        <f t="shared" si="31"/>
        <v>42000</v>
      </c>
      <c r="O187" s="69">
        <f t="shared" si="31"/>
        <v>42000</v>
      </c>
      <c r="P187" s="69">
        <f t="shared" si="31"/>
        <v>132000</v>
      </c>
      <c r="Q187" s="69">
        <f t="shared" si="31"/>
        <v>42000</v>
      </c>
      <c r="R187" s="69">
        <f t="shared" si="31"/>
        <v>553000</v>
      </c>
      <c r="S187" s="94">
        <f t="shared" si="31"/>
        <v>32000</v>
      </c>
      <c r="T187" s="69">
        <f t="shared" si="31"/>
        <v>42000</v>
      </c>
      <c r="U187" s="69">
        <f t="shared" si="31"/>
        <v>37000</v>
      </c>
      <c r="V187" s="69">
        <f t="shared" si="31"/>
        <v>37000</v>
      </c>
      <c r="W187" s="69">
        <f t="shared" si="31"/>
        <v>37000</v>
      </c>
      <c r="X187" s="69">
        <f t="shared" si="31"/>
        <v>37000</v>
      </c>
      <c r="Y187" s="69">
        <f t="shared" si="31"/>
        <v>37000</v>
      </c>
      <c r="Z187" s="69">
        <f t="shared" si="31"/>
        <v>37000</v>
      </c>
      <c r="AA187" s="69">
        <f t="shared" si="31"/>
        <v>37000</v>
      </c>
      <c r="AB187" s="69">
        <f t="shared" si="31"/>
        <v>37000</v>
      </c>
      <c r="AC187" s="69">
        <f t="shared" si="31"/>
        <v>275000</v>
      </c>
      <c r="AD187" s="69">
        <f t="shared" si="31"/>
        <v>645000</v>
      </c>
    </row>
    <row r="188" spans="1:30" x14ac:dyDescent="0.3">
      <c r="A188" s="1094" t="s">
        <v>32</v>
      </c>
      <c r="B188" s="45"/>
      <c r="C188" s="105"/>
      <c r="D188" s="70">
        <f>SUM(D189:D192)</f>
        <v>838000</v>
      </c>
      <c r="E188" s="70">
        <f>SUM(E189:E192)</f>
        <v>0</v>
      </c>
      <c r="F188" s="70">
        <f t="shared" si="23"/>
        <v>838000</v>
      </c>
      <c r="G188" s="70">
        <f>SUM(G189:G192)</f>
        <v>18000</v>
      </c>
      <c r="H188" s="70">
        <f t="shared" ref="H188:AD188" si="32">SUM(H189:H192)</f>
        <v>18000</v>
      </c>
      <c r="I188" s="70">
        <f t="shared" si="32"/>
        <v>23000</v>
      </c>
      <c r="J188" s="70">
        <f t="shared" si="32"/>
        <v>60100</v>
      </c>
      <c r="K188" s="70">
        <f t="shared" si="32"/>
        <v>61500</v>
      </c>
      <c r="L188" s="70">
        <f t="shared" si="32"/>
        <v>52400</v>
      </c>
      <c r="M188" s="70">
        <f t="shared" si="32"/>
        <v>32000</v>
      </c>
      <c r="N188" s="70">
        <f t="shared" si="32"/>
        <v>42000</v>
      </c>
      <c r="O188" s="70">
        <f t="shared" si="32"/>
        <v>42000</v>
      </c>
      <c r="P188" s="70">
        <f t="shared" si="32"/>
        <v>42000</v>
      </c>
      <c r="Q188" s="70">
        <f t="shared" si="32"/>
        <v>42000</v>
      </c>
      <c r="R188" s="70">
        <f t="shared" si="32"/>
        <v>433000</v>
      </c>
      <c r="S188" s="99">
        <f t="shared" si="32"/>
        <v>32000</v>
      </c>
      <c r="T188" s="70">
        <f t="shared" si="32"/>
        <v>42000</v>
      </c>
      <c r="U188" s="70">
        <f t="shared" si="32"/>
        <v>37000</v>
      </c>
      <c r="V188" s="70">
        <f t="shared" si="32"/>
        <v>37000</v>
      </c>
      <c r="W188" s="70">
        <f t="shared" si="32"/>
        <v>37000</v>
      </c>
      <c r="X188" s="70">
        <f t="shared" si="32"/>
        <v>37000</v>
      </c>
      <c r="Y188" s="70">
        <f t="shared" si="32"/>
        <v>37000</v>
      </c>
      <c r="Z188" s="70">
        <f t="shared" si="32"/>
        <v>37000</v>
      </c>
      <c r="AA188" s="70">
        <f t="shared" si="32"/>
        <v>37000</v>
      </c>
      <c r="AB188" s="70">
        <f t="shared" si="32"/>
        <v>37000</v>
      </c>
      <c r="AC188" s="70">
        <f t="shared" si="32"/>
        <v>35000</v>
      </c>
      <c r="AD188" s="70">
        <f t="shared" si="32"/>
        <v>405000</v>
      </c>
    </row>
    <row r="189" spans="1:30" ht="33.75" customHeight="1" x14ac:dyDescent="0.3">
      <c r="A189" s="1094"/>
      <c r="B189" s="6" t="s">
        <v>2</v>
      </c>
      <c r="C189" s="3" t="s">
        <v>775</v>
      </c>
      <c r="D189" s="23">
        <f>+R189+AD189</f>
        <v>396000</v>
      </c>
      <c r="E189" s="23"/>
      <c r="F189" s="74">
        <f t="shared" si="23"/>
        <v>396000</v>
      </c>
      <c r="G189" s="81">
        <f>+'F1,F2,F3,F4 (Desglose)'!H104</f>
        <v>18000</v>
      </c>
      <c r="H189" s="81">
        <f>+'F1,F2,F3,F4 (Desglose)'!I104</f>
        <v>18000</v>
      </c>
      <c r="I189" s="81">
        <f>+'F1,F2,F3,F4 (Desglose)'!J104</f>
        <v>18000</v>
      </c>
      <c r="J189" s="81">
        <f>+'F1,F2,F3,F4 (Desglose)'!K104</f>
        <v>18000</v>
      </c>
      <c r="K189" s="81">
        <f>+'F1,F2,F3,F4 (Desglose)'!L104</f>
        <v>18000</v>
      </c>
      <c r="L189" s="81">
        <f>+'F1,F2,F3,F4 (Desglose)'!M104</f>
        <v>18000</v>
      </c>
      <c r="M189" s="81">
        <f>+'F1,F2,F3,F4 (Desglose)'!N104</f>
        <v>18000</v>
      </c>
      <c r="N189" s="81">
        <f>+'F1,F2,F3,F4 (Desglose)'!O104</f>
        <v>18000</v>
      </c>
      <c r="O189" s="81">
        <f>+'F1,F2,F3,F4 (Desglose)'!P104</f>
        <v>18000</v>
      </c>
      <c r="P189" s="81">
        <f>+'F1,F2,F3,F4 (Desglose)'!Q104</f>
        <v>18000</v>
      </c>
      <c r="Q189" s="81">
        <f>+'F1,F2,F3,F4 (Desglose)'!R104</f>
        <v>18000</v>
      </c>
      <c r="R189" s="241">
        <f>SUM(G189:Q189)</f>
        <v>198000</v>
      </c>
      <c r="S189" s="81">
        <f>+'F1,F2,F3,F4 (Desglose)'!T104</f>
        <v>18000</v>
      </c>
      <c r="T189" s="81">
        <f>+'F1,F2,F3,F4 (Desglose)'!U104</f>
        <v>18000</v>
      </c>
      <c r="U189" s="81">
        <f>+'F1,F2,F3,F4 (Desglose)'!V104</f>
        <v>18000</v>
      </c>
      <c r="V189" s="81">
        <f>+'F1,F2,F3,F4 (Desglose)'!W104</f>
        <v>18000</v>
      </c>
      <c r="W189" s="81">
        <f>+'F1,F2,F3,F4 (Desglose)'!X104</f>
        <v>18000</v>
      </c>
      <c r="X189" s="81">
        <f>+'F1,F2,F3,F4 (Desglose)'!Y104</f>
        <v>18000</v>
      </c>
      <c r="Y189" s="81">
        <f>+'F1,F2,F3,F4 (Desglose)'!Z104</f>
        <v>18000</v>
      </c>
      <c r="Z189" s="81">
        <f>+'F1,F2,F3,F4 (Desglose)'!AA104</f>
        <v>18000</v>
      </c>
      <c r="AA189" s="81">
        <f>+'F1,F2,F3,F4 (Desglose)'!AB104</f>
        <v>18000</v>
      </c>
      <c r="AB189" s="81">
        <f>+'F1,F2,F3,F4 (Desglose)'!AC104</f>
        <v>18000</v>
      </c>
      <c r="AC189" s="81">
        <f>+'F1,F2,F3,F4 (Desglose)'!AD104</f>
        <v>18000</v>
      </c>
      <c r="AD189" s="241">
        <f>SUM(S189:AC189)</f>
        <v>198000</v>
      </c>
    </row>
    <row r="190" spans="1:30" ht="28.8" x14ac:dyDescent="0.3">
      <c r="A190" s="1094"/>
      <c r="B190" s="6" t="s">
        <v>3</v>
      </c>
      <c r="C190" s="47" t="s">
        <v>853</v>
      </c>
      <c r="D190" s="23">
        <f>+R190+AD190</f>
        <v>259000</v>
      </c>
      <c r="E190" s="23"/>
      <c r="F190" s="74">
        <f t="shared" si="23"/>
        <v>259000</v>
      </c>
      <c r="G190" s="81">
        <f>+'F1,F2,F3,F4 (Desglose)'!H105</f>
        <v>0</v>
      </c>
      <c r="H190" s="81">
        <f>+'F1,F2,F3,F4 (Desglose)'!I105</f>
        <v>0</v>
      </c>
      <c r="I190" s="81">
        <f>+'F1,F2,F3,F4 (Desglose)'!J105</f>
        <v>0</v>
      </c>
      <c r="J190" s="81">
        <f>+'F1,F2,F3,F4 (Desglose)'!K105</f>
        <v>7000</v>
      </c>
      <c r="K190" s="81">
        <f>+'F1,F2,F3,F4 (Desglose)'!L105</f>
        <v>14000</v>
      </c>
      <c r="L190" s="81">
        <f>+'F1,F2,F3,F4 (Desglose)'!M105</f>
        <v>14000</v>
      </c>
      <c r="M190" s="81">
        <f>+'F1,F2,F3,F4 (Desglose)'!N105</f>
        <v>14000</v>
      </c>
      <c r="N190" s="81">
        <f>+'F1,F2,F3,F4 (Desglose)'!O105</f>
        <v>14000</v>
      </c>
      <c r="O190" s="81">
        <f>+'F1,F2,F3,F4 (Desglose)'!P105</f>
        <v>14000</v>
      </c>
      <c r="P190" s="81">
        <f>+'F1,F2,F3,F4 (Desglose)'!Q105</f>
        <v>14000</v>
      </c>
      <c r="Q190" s="81">
        <f>+'F1,F2,F3,F4 (Desglose)'!R105</f>
        <v>14000</v>
      </c>
      <c r="R190" s="241">
        <f>SUM(G190:Q190)</f>
        <v>105000</v>
      </c>
      <c r="S190" s="81">
        <f>+'F1,F2,F3,F4 (Desglose)'!T105</f>
        <v>14000</v>
      </c>
      <c r="T190" s="81">
        <f>+'F1,F2,F3,F4 (Desglose)'!U105</f>
        <v>14000</v>
      </c>
      <c r="U190" s="81">
        <f>+'F1,F2,F3,F4 (Desglose)'!V105</f>
        <v>14000</v>
      </c>
      <c r="V190" s="81">
        <f>+'F1,F2,F3,F4 (Desglose)'!W105</f>
        <v>14000</v>
      </c>
      <c r="W190" s="81">
        <f>+'F1,F2,F3,F4 (Desglose)'!X105</f>
        <v>14000</v>
      </c>
      <c r="X190" s="81">
        <f>+'F1,F2,F3,F4 (Desglose)'!Y105</f>
        <v>14000</v>
      </c>
      <c r="Y190" s="81">
        <f>+'F1,F2,F3,F4 (Desglose)'!Z105</f>
        <v>14000</v>
      </c>
      <c r="Z190" s="81">
        <f>+'F1,F2,F3,F4 (Desglose)'!AA105</f>
        <v>14000</v>
      </c>
      <c r="AA190" s="81">
        <f>+'F1,F2,F3,F4 (Desglose)'!AB105</f>
        <v>14000</v>
      </c>
      <c r="AB190" s="81">
        <f>+'F1,F2,F3,F4 (Desglose)'!AC105</f>
        <v>14000</v>
      </c>
      <c r="AC190" s="81">
        <f>+'F1,F2,F3,F4 (Desglose)'!AD105</f>
        <v>14000</v>
      </c>
      <c r="AD190" s="241">
        <f>SUM(S190:AC190)</f>
        <v>154000</v>
      </c>
    </row>
    <row r="191" spans="1:30" ht="43.2" x14ac:dyDescent="0.3">
      <c r="A191" s="1094"/>
      <c r="B191" s="6" t="s">
        <v>4</v>
      </c>
      <c r="C191" s="3" t="s">
        <v>30</v>
      </c>
      <c r="D191" s="23">
        <f>+R191+AD191</f>
        <v>70000</v>
      </c>
      <c r="E191" s="23"/>
      <c r="F191" s="74">
        <f t="shared" si="23"/>
        <v>70000</v>
      </c>
      <c r="G191" s="81">
        <f>+'F1,F2,F3,F4 (Desglose)'!H106</f>
        <v>0</v>
      </c>
      <c r="H191" s="81">
        <f>+'F1,F2,F3,F4 (Desglose)'!I106</f>
        <v>0</v>
      </c>
      <c r="I191" s="81">
        <f>+'F1,F2,F3,F4 (Desglose)'!J106</f>
        <v>0</v>
      </c>
      <c r="J191" s="81">
        <f>+'F1,F2,F3,F4 (Desglose)'!K106</f>
        <v>30100</v>
      </c>
      <c r="K191" s="81">
        <f>+'F1,F2,F3,F4 (Desglose)'!L106</f>
        <v>24500</v>
      </c>
      <c r="L191" s="81">
        <f>+'F1,F2,F3,F4 (Desglose)'!M106</f>
        <v>15400</v>
      </c>
      <c r="M191" s="81">
        <f>+'F1,F2,F3,F4 (Desglose)'!N106</f>
        <v>0</v>
      </c>
      <c r="N191" s="81">
        <f>+'F1,F2,F3,F4 (Desglose)'!O106</f>
        <v>0</v>
      </c>
      <c r="O191" s="81">
        <f>+'F1,F2,F3,F4 (Desglose)'!P106</f>
        <v>0</v>
      </c>
      <c r="P191" s="81">
        <f>+'F1,F2,F3,F4 (Desglose)'!Q106</f>
        <v>0</v>
      </c>
      <c r="Q191" s="81">
        <f>+'F1,F2,F3,F4 (Desglose)'!R106</f>
        <v>0</v>
      </c>
      <c r="R191" s="241">
        <f>SUM(G191:Q191)</f>
        <v>70000</v>
      </c>
      <c r="S191" s="81">
        <f>+'F1,F2,F3,F4 (Desglose)'!T106</f>
        <v>0</v>
      </c>
      <c r="T191" s="81">
        <f>+'F1,F2,F3,F4 (Desglose)'!U106</f>
        <v>0</v>
      </c>
      <c r="U191" s="81">
        <f>+'F1,F2,F3,F4 (Desglose)'!V106</f>
        <v>0</v>
      </c>
      <c r="V191" s="81">
        <f>+'F1,F2,F3,F4 (Desglose)'!W106</f>
        <v>0</v>
      </c>
      <c r="W191" s="81">
        <f>+'F1,F2,F3,F4 (Desglose)'!X106</f>
        <v>0</v>
      </c>
      <c r="X191" s="81">
        <f>+'F1,F2,F3,F4 (Desglose)'!Y106</f>
        <v>0</v>
      </c>
      <c r="Y191" s="81">
        <f>+'F1,F2,F3,F4 (Desglose)'!Z106</f>
        <v>0</v>
      </c>
      <c r="Z191" s="81">
        <f>+'F1,F2,F3,F4 (Desglose)'!AA106</f>
        <v>0</v>
      </c>
      <c r="AA191" s="81">
        <f>+'F1,F2,F3,F4 (Desglose)'!AB106</f>
        <v>0</v>
      </c>
      <c r="AB191" s="81">
        <f>+'F1,F2,F3,F4 (Desglose)'!AC106</f>
        <v>0</v>
      </c>
      <c r="AC191" s="81">
        <f>+'F1,F2,F3,F4 (Desglose)'!AD106</f>
        <v>0</v>
      </c>
      <c r="AD191" s="241">
        <f>SUM(S191:AC191)</f>
        <v>0</v>
      </c>
    </row>
    <row r="192" spans="1:30" ht="51" customHeight="1" x14ac:dyDescent="0.3">
      <c r="A192" s="1094"/>
      <c r="B192" s="6" t="s">
        <v>8</v>
      </c>
      <c r="C192" s="3" t="s">
        <v>29</v>
      </c>
      <c r="D192" s="23">
        <f>+R192+AD192</f>
        <v>113000</v>
      </c>
      <c r="E192" s="23"/>
      <c r="F192" s="74">
        <f t="shared" si="23"/>
        <v>113000</v>
      </c>
      <c r="G192" s="81">
        <f>+'F1,F2,F3,F4 (Desglose)'!H107</f>
        <v>0</v>
      </c>
      <c r="H192" s="81">
        <f>+'F1,F2,F3,F4 (Desglose)'!I107</f>
        <v>0</v>
      </c>
      <c r="I192" s="81">
        <f>+'F1,F2,F3,F4 (Desglose)'!J107</f>
        <v>5000</v>
      </c>
      <c r="J192" s="81">
        <f>+'F1,F2,F3,F4 (Desglose)'!K107</f>
        <v>5000</v>
      </c>
      <c r="K192" s="81">
        <f>+'F1,F2,F3,F4 (Desglose)'!L107</f>
        <v>5000</v>
      </c>
      <c r="L192" s="81">
        <f>+'F1,F2,F3,F4 (Desglose)'!M107</f>
        <v>5000</v>
      </c>
      <c r="M192" s="81">
        <f>+'F1,F2,F3,F4 (Desglose)'!N107</f>
        <v>0</v>
      </c>
      <c r="N192" s="81">
        <f>+'F1,F2,F3,F4 (Desglose)'!O107</f>
        <v>10000</v>
      </c>
      <c r="O192" s="81">
        <f>+'F1,F2,F3,F4 (Desglose)'!P107</f>
        <v>10000</v>
      </c>
      <c r="P192" s="81">
        <f>+'F1,F2,F3,F4 (Desglose)'!Q107</f>
        <v>10000</v>
      </c>
      <c r="Q192" s="81">
        <f>+'F1,F2,F3,F4 (Desglose)'!R107</f>
        <v>10000</v>
      </c>
      <c r="R192" s="241">
        <f>SUM(G192:Q192)</f>
        <v>60000</v>
      </c>
      <c r="S192" s="81">
        <f>+'F1,F2,F3,F4 (Desglose)'!T107</f>
        <v>0</v>
      </c>
      <c r="T192" s="81">
        <f>+'F1,F2,F3,F4 (Desglose)'!U107</f>
        <v>10000</v>
      </c>
      <c r="U192" s="81">
        <f>+'F1,F2,F3,F4 (Desglose)'!V107</f>
        <v>5000</v>
      </c>
      <c r="V192" s="81">
        <f>+'F1,F2,F3,F4 (Desglose)'!W107</f>
        <v>5000</v>
      </c>
      <c r="W192" s="81">
        <f>+'F1,F2,F3,F4 (Desglose)'!X107</f>
        <v>5000</v>
      </c>
      <c r="X192" s="81">
        <f>+'F1,F2,F3,F4 (Desglose)'!Y107</f>
        <v>5000</v>
      </c>
      <c r="Y192" s="81">
        <f>+'F1,F2,F3,F4 (Desglose)'!Z107</f>
        <v>5000</v>
      </c>
      <c r="Z192" s="81">
        <f>+'F1,F2,F3,F4 (Desglose)'!AA107</f>
        <v>5000</v>
      </c>
      <c r="AA192" s="81">
        <f>+'F1,F2,F3,F4 (Desglose)'!AB107</f>
        <v>5000</v>
      </c>
      <c r="AB192" s="81">
        <f>+'F1,F2,F3,F4 (Desglose)'!AC107</f>
        <v>5000</v>
      </c>
      <c r="AC192" s="81">
        <f>+'F1,F2,F3,F4 (Desglose)'!AD107</f>
        <v>3000</v>
      </c>
      <c r="AD192" s="241">
        <f>SUM(S192:AC192)</f>
        <v>53000</v>
      </c>
    </row>
    <row r="193" spans="1:30" s="67" customFormat="1" x14ac:dyDescent="0.3">
      <c r="A193" s="1094" t="s">
        <v>33</v>
      </c>
      <c r="B193" s="40"/>
      <c r="C193" s="108"/>
      <c r="D193" s="70">
        <f t="shared" ref="D193:AD193" si="33">SUM(D194:D195)</f>
        <v>360000</v>
      </c>
      <c r="E193" s="70">
        <f t="shared" si="33"/>
        <v>0</v>
      </c>
      <c r="F193" s="70">
        <f t="shared" si="33"/>
        <v>360000</v>
      </c>
      <c r="G193" s="70">
        <f t="shared" si="33"/>
        <v>0</v>
      </c>
      <c r="H193" s="70">
        <f t="shared" si="33"/>
        <v>0</v>
      </c>
      <c r="I193" s="70">
        <f t="shared" si="33"/>
        <v>0</v>
      </c>
      <c r="J193" s="70">
        <f t="shared" si="33"/>
        <v>15000</v>
      </c>
      <c r="K193" s="70">
        <f t="shared" si="33"/>
        <v>15000</v>
      </c>
      <c r="L193" s="70">
        <f t="shared" si="33"/>
        <v>0</v>
      </c>
      <c r="M193" s="70">
        <f t="shared" si="33"/>
        <v>0</v>
      </c>
      <c r="N193" s="70">
        <f t="shared" si="33"/>
        <v>0</v>
      </c>
      <c r="O193" s="70">
        <f t="shared" si="33"/>
        <v>0</v>
      </c>
      <c r="P193" s="70">
        <f t="shared" si="33"/>
        <v>90000</v>
      </c>
      <c r="Q193" s="70">
        <f t="shared" si="33"/>
        <v>0</v>
      </c>
      <c r="R193" s="70">
        <f t="shared" si="33"/>
        <v>120000</v>
      </c>
      <c r="S193" s="70">
        <f t="shared" si="33"/>
        <v>0</v>
      </c>
      <c r="T193" s="70">
        <f t="shared" si="33"/>
        <v>0</v>
      </c>
      <c r="U193" s="70">
        <f t="shared" si="33"/>
        <v>0</v>
      </c>
      <c r="V193" s="70">
        <f t="shared" si="33"/>
        <v>0</v>
      </c>
      <c r="W193" s="70">
        <f t="shared" si="33"/>
        <v>0</v>
      </c>
      <c r="X193" s="70">
        <f t="shared" si="33"/>
        <v>0</v>
      </c>
      <c r="Y193" s="70">
        <f t="shared" si="33"/>
        <v>0</v>
      </c>
      <c r="Z193" s="70">
        <f t="shared" si="33"/>
        <v>0</v>
      </c>
      <c r="AA193" s="70">
        <f t="shared" si="33"/>
        <v>0</v>
      </c>
      <c r="AB193" s="70">
        <f t="shared" si="33"/>
        <v>0</v>
      </c>
      <c r="AC193" s="70">
        <f t="shared" si="33"/>
        <v>240000</v>
      </c>
      <c r="AD193" s="70">
        <f t="shared" si="33"/>
        <v>240000</v>
      </c>
    </row>
    <row r="194" spans="1:30" ht="22.5" customHeight="1" x14ac:dyDescent="0.3">
      <c r="A194" s="1094"/>
      <c r="B194" s="771" t="s">
        <v>2</v>
      </c>
      <c r="C194" s="3" t="s">
        <v>31</v>
      </c>
      <c r="D194" s="23">
        <f>+R194+AD194</f>
        <v>300000</v>
      </c>
      <c r="E194" s="23"/>
      <c r="F194" s="74">
        <f>+D194+E194</f>
        <v>300000</v>
      </c>
      <c r="G194" s="76">
        <f>+'F1,F2,F3,F4 (Desglose)'!H109</f>
        <v>0</v>
      </c>
      <c r="H194" s="76">
        <f>+'F1,F2,F3,F4 (Desglose)'!I109</f>
        <v>0</v>
      </c>
      <c r="I194" s="76">
        <f>+'F1,F2,F3,F4 (Desglose)'!J109</f>
        <v>0</v>
      </c>
      <c r="J194" s="76">
        <f>+'F1,F2,F3,F4 (Desglose)'!K109</f>
        <v>15000</v>
      </c>
      <c r="K194" s="76">
        <f>+'F1,F2,F3,F4 (Desglose)'!L109</f>
        <v>15000</v>
      </c>
      <c r="L194" s="76">
        <f>+'F1,F2,F3,F4 (Desglose)'!M109</f>
        <v>0</v>
      </c>
      <c r="M194" s="76">
        <f>+'F1,F2,F3,F4 (Desglose)'!N109</f>
        <v>0</v>
      </c>
      <c r="N194" s="76">
        <f>+'F1,F2,F3,F4 (Desglose)'!O109</f>
        <v>0</v>
      </c>
      <c r="O194" s="76">
        <f>+'F1,F2,F3,F4 (Desglose)'!P109</f>
        <v>0</v>
      </c>
      <c r="P194" s="76">
        <f>+'F1,F2,F3,F4 (Desglose)'!Q109</f>
        <v>90000</v>
      </c>
      <c r="Q194" s="76">
        <f>+'F1,F2,F3,F4 (Desglose)'!R109</f>
        <v>0</v>
      </c>
      <c r="R194" s="83">
        <f>SUM(G194:Q194)</f>
        <v>120000</v>
      </c>
      <c r="S194" s="76">
        <f>+'F1,F2,F3,F4 (Desglose)'!T109</f>
        <v>0</v>
      </c>
      <c r="T194" s="76">
        <f>+'F1,F2,F3,F4 (Desglose)'!U109</f>
        <v>0</v>
      </c>
      <c r="U194" s="76">
        <f>+'F1,F2,F3,F4 (Desglose)'!V109</f>
        <v>0</v>
      </c>
      <c r="V194" s="76">
        <f>+'F1,F2,F3,F4 (Desglose)'!W109</f>
        <v>0</v>
      </c>
      <c r="W194" s="76">
        <f>+'F1,F2,F3,F4 (Desglose)'!X109</f>
        <v>0</v>
      </c>
      <c r="X194" s="76">
        <f>+'F1,F2,F3,F4 (Desglose)'!Y109</f>
        <v>0</v>
      </c>
      <c r="Y194" s="76">
        <f>+'F1,F2,F3,F4 (Desglose)'!Z109</f>
        <v>0</v>
      </c>
      <c r="Z194" s="76">
        <f>+'F1,F2,F3,F4 (Desglose)'!AA109</f>
        <v>0</v>
      </c>
      <c r="AA194" s="76">
        <f>+'F1,F2,F3,F4 (Desglose)'!AB109</f>
        <v>0</v>
      </c>
      <c r="AB194" s="76">
        <f>+'F1,F2,F3,F4 (Desglose)'!AC109</f>
        <v>0</v>
      </c>
      <c r="AC194" s="76">
        <f>+'F1,F2,F3,F4 (Desglose)'!AD109</f>
        <v>180000</v>
      </c>
      <c r="AD194" s="83">
        <f>SUM(S194:AC194)</f>
        <v>180000</v>
      </c>
    </row>
    <row r="195" spans="1:30" ht="33" customHeight="1" x14ac:dyDescent="0.3">
      <c r="A195" s="1094"/>
      <c r="B195" s="771" t="s">
        <v>3</v>
      </c>
      <c r="C195" s="3" t="s">
        <v>34</v>
      </c>
      <c r="D195" s="80">
        <f>+R195+AD195</f>
        <v>60000</v>
      </c>
      <c r="E195" s="80"/>
      <c r="F195" s="236">
        <f>+D195+E195</f>
        <v>60000</v>
      </c>
      <c r="G195" s="76">
        <f>+'F1,F2,F3,F4 (Desglose)'!H110</f>
        <v>0</v>
      </c>
      <c r="H195" s="76">
        <f>+'F1,F2,F3,F4 (Desglose)'!I110</f>
        <v>0</v>
      </c>
      <c r="I195" s="76">
        <f>+'F1,F2,F3,F4 (Desglose)'!J110</f>
        <v>0</v>
      </c>
      <c r="J195" s="76">
        <f>+'F1,F2,F3,F4 (Desglose)'!K110</f>
        <v>0</v>
      </c>
      <c r="K195" s="76">
        <f>+'F1,F2,F3,F4 (Desglose)'!L110</f>
        <v>0</v>
      </c>
      <c r="L195" s="76">
        <f>+'F1,F2,F3,F4 (Desglose)'!M110</f>
        <v>0</v>
      </c>
      <c r="M195" s="76">
        <f>+'F1,F2,F3,F4 (Desglose)'!N110</f>
        <v>0</v>
      </c>
      <c r="N195" s="76">
        <f>+'F1,F2,F3,F4 (Desglose)'!O110</f>
        <v>0</v>
      </c>
      <c r="O195" s="76">
        <f>+'F1,F2,F3,F4 (Desglose)'!P110</f>
        <v>0</v>
      </c>
      <c r="P195" s="76">
        <f>+'F1,F2,F3,F4 (Desglose)'!Q110</f>
        <v>0</v>
      </c>
      <c r="Q195" s="76">
        <f>+'F1,F2,F3,F4 (Desglose)'!R110</f>
        <v>0</v>
      </c>
      <c r="R195" s="83">
        <f>SUM(G195:Q195)</f>
        <v>0</v>
      </c>
      <c r="S195" s="76">
        <f>+'F1,F2,F3,F4 (Desglose)'!T110</f>
        <v>0</v>
      </c>
      <c r="T195" s="76">
        <f>+'F1,F2,F3,F4 (Desglose)'!U110</f>
        <v>0</v>
      </c>
      <c r="U195" s="76">
        <f>+'F1,F2,F3,F4 (Desglose)'!V110</f>
        <v>0</v>
      </c>
      <c r="V195" s="76">
        <f>+'F1,F2,F3,F4 (Desglose)'!W110</f>
        <v>0</v>
      </c>
      <c r="W195" s="76">
        <f>+'F1,F2,F3,F4 (Desglose)'!X110</f>
        <v>0</v>
      </c>
      <c r="X195" s="76">
        <f>+'F1,F2,F3,F4 (Desglose)'!Y110</f>
        <v>0</v>
      </c>
      <c r="Y195" s="76">
        <f>+'F1,F2,F3,F4 (Desglose)'!Z110</f>
        <v>0</v>
      </c>
      <c r="Z195" s="76">
        <f>+'F1,F2,F3,F4 (Desglose)'!AA110</f>
        <v>0</v>
      </c>
      <c r="AA195" s="76">
        <f>+'F1,F2,F3,F4 (Desglose)'!AB110</f>
        <v>0</v>
      </c>
      <c r="AB195" s="76">
        <f>+'F1,F2,F3,F4 (Desglose)'!AC110</f>
        <v>0</v>
      </c>
      <c r="AC195" s="76">
        <f>+'F1,F2,F3,F4 (Desglose)'!AD110</f>
        <v>60000</v>
      </c>
      <c r="AD195" s="83">
        <f>SUM(S195:AC195)</f>
        <v>60000</v>
      </c>
    </row>
    <row r="196" spans="1:30" s="135" customFormat="1" ht="39" customHeight="1" x14ac:dyDescent="0.3">
      <c r="A196" s="768" t="s">
        <v>35</v>
      </c>
      <c r="B196" s="87"/>
      <c r="C196" s="127"/>
      <c r="D196" s="128">
        <f>+D198</f>
        <v>696000</v>
      </c>
      <c r="E196" s="128">
        <f>+E198</f>
        <v>0</v>
      </c>
      <c r="F196" s="128">
        <f>+D196+E196</f>
        <v>696000</v>
      </c>
      <c r="G196" s="128">
        <f>+G198</f>
        <v>18000</v>
      </c>
      <c r="H196" s="128">
        <f t="shared" ref="H196:AD196" si="34">+H198</f>
        <v>42610</v>
      </c>
      <c r="I196" s="128">
        <f t="shared" si="34"/>
        <v>83000</v>
      </c>
      <c r="J196" s="128">
        <f t="shared" si="34"/>
        <v>18000</v>
      </c>
      <c r="K196" s="128">
        <f t="shared" si="34"/>
        <v>18000</v>
      </c>
      <c r="L196" s="128">
        <f t="shared" si="34"/>
        <v>18000</v>
      </c>
      <c r="M196" s="128">
        <f t="shared" si="34"/>
        <v>18000</v>
      </c>
      <c r="N196" s="128">
        <f t="shared" si="34"/>
        <v>63390</v>
      </c>
      <c r="O196" s="128">
        <f t="shared" si="34"/>
        <v>18000</v>
      </c>
      <c r="P196" s="128">
        <f t="shared" si="34"/>
        <v>43000</v>
      </c>
      <c r="Q196" s="128">
        <f t="shared" si="34"/>
        <v>18000</v>
      </c>
      <c r="R196" s="128">
        <f t="shared" si="34"/>
        <v>358000</v>
      </c>
      <c r="S196" s="129">
        <f t="shared" si="34"/>
        <v>18000</v>
      </c>
      <c r="T196" s="128">
        <f t="shared" si="34"/>
        <v>18000</v>
      </c>
      <c r="U196" s="128">
        <f t="shared" si="34"/>
        <v>78000</v>
      </c>
      <c r="V196" s="128">
        <f t="shared" si="34"/>
        <v>18000</v>
      </c>
      <c r="W196" s="128">
        <f t="shared" si="34"/>
        <v>23000</v>
      </c>
      <c r="X196" s="128">
        <f t="shared" si="34"/>
        <v>18000</v>
      </c>
      <c r="Y196" s="128">
        <f t="shared" si="34"/>
        <v>23000</v>
      </c>
      <c r="Z196" s="128">
        <f t="shared" si="34"/>
        <v>18000</v>
      </c>
      <c r="AA196" s="128">
        <f t="shared" si="34"/>
        <v>23000</v>
      </c>
      <c r="AB196" s="128">
        <f t="shared" si="34"/>
        <v>18000</v>
      </c>
      <c r="AC196" s="128">
        <f t="shared" si="34"/>
        <v>83000</v>
      </c>
      <c r="AD196" s="128">
        <f t="shared" si="34"/>
        <v>338000</v>
      </c>
    </row>
    <row r="197" spans="1:30" x14ac:dyDescent="0.3">
      <c r="A197" s="779" t="s">
        <v>36</v>
      </c>
      <c r="B197" s="39"/>
      <c r="C197" s="104"/>
      <c r="D197" s="65" t="e">
        <f>+S197+#REF!</f>
        <v>#REF!</v>
      </c>
      <c r="E197" s="65" t="e">
        <f>+T197+D197</f>
        <v>#REF!</v>
      </c>
      <c r="F197" s="56" t="e">
        <f t="shared" ref="F197:F202" si="35">+D197+E197</f>
        <v>#REF!</v>
      </c>
      <c r="G197" s="68"/>
      <c r="H197" s="68"/>
      <c r="I197" s="68"/>
      <c r="J197" s="68"/>
      <c r="K197" s="68"/>
      <c r="L197" s="68"/>
      <c r="M197" s="68"/>
      <c r="N197" s="68"/>
      <c r="O197" s="68"/>
      <c r="P197" s="68"/>
      <c r="Q197" s="68"/>
      <c r="R197" s="56"/>
      <c r="S197" s="93"/>
      <c r="T197" s="68"/>
      <c r="U197" s="68"/>
      <c r="V197" s="68"/>
      <c r="W197" s="68"/>
      <c r="X197" s="68"/>
      <c r="Y197" s="68"/>
      <c r="Z197" s="68"/>
      <c r="AA197" s="68"/>
      <c r="AB197" s="68"/>
      <c r="AC197" s="68"/>
      <c r="AD197" s="56"/>
    </row>
    <row r="198" spans="1:30" x14ac:dyDescent="0.3">
      <c r="A198" s="779" t="s">
        <v>37</v>
      </c>
      <c r="B198" s="39"/>
      <c r="C198" s="104"/>
      <c r="D198" s="69">
        <f>+D199</f>
        <v>696000</v>
      </c>
      <c r="E198" s="69">
        <f>+E200</f>
        <v>0</v>
      </c>
      <c r="F198" s="69">
        <f t="shared" si="35"/>
        <v>696000</v>
      </c>
      <c r="G198" s="69">
        <f>+G199</f>
        <v>18000</v>
      </c>
      <c r="H198" s="69">
        <f>+H199</f>
        <v>42610</v>
      </c>
      <c r="I198" s="69">
        <f t="shared" ref="I198:AD198" si="36">+I199</f>
        <v>83000</v>
      </c>
      <c r="J198" s="69">
        <f t="shared" si="36"/>
        <v>18000</v>
      </c>
      <c r="K198" s="69">
        <f t="shared" si="36"/>
        <v>18000</v>
      </c>
      <c r="L198" s="69">
        <f t="shared" si="36"/>
        <v>18000</v>
      </c>
      <c r="M198" s="69">
        <f t="shared" si="36"/>
        <v>18000</v>
      </c>
      <c r="N198" s="69">
        <f t="shared" si="36"/>
        <v>63390</v>
      </c>
      <c r="O198" s="69">
        <f t="shared" si="36"/>
        <v>18000</v>
      </c>
      <c r="P198" s="69">
        <f t="shared" si="36"/>
        <v>43000</v>
      </c>
      <c r="Q198" s="69">
        <f t="shared" si="36"/>
        <v>18000</v>
      </c>
      <c r="R198" s="69">
        <f t="shared" si="36"/>
        <v>358000</v>
      </c>
      <c r="S198" s="94">
        <f t="shared" si="36"/>
        <v>18000</v>
      </c>
      <c r="T198" s="69">
        <f t="shared" si="36"/>
        <v>18000</v>
      </c>
      <c r="U198" s="69">
        <f t="shared" si="36"/>
        <v>78000</v>
      </c>
      <c r="V198" s="69">
        <f t="shared" si="36"/>
        <v>18000</v>
      </c>
      <c r="W198" s="69">
        <f t="shared" si="36"/>
        <v>23000</v>
      </c>
      <c r="X198" s="69">
        <f t="shared" si="36"/>
        <v>18000</v>
      </c>
      <c r="Y198" s="69">
        <f t="shared" si="36"/>
        <v>23000</v>
      </c>
      <c r="Z198" s="69">
        <f t="shared" si="36"/>
        <v>18000</v>
      </c>
      <c r="AA198" s="69">
        <f t="shared" si="36"/>
        <v>23000</v>
      </c>
      <c r="AB198" s="69">
        <f t="shared" si="36"/>
        <v>18000</v>
      </c>
      <c r="AC198" s="69">
        <f t="shared" si="36"/>
        <v>83000</v>
      </c>
      <c r="AD198" s="69">
        <f t="shared" si="36"/>
        <v>338000</v>
      </c>
    </row>
    <row r="199" spans="1:30" x14ac:dyDescent="0.3">
      <c r="A199" s="1094" t="s">
        <v>79</v>
      </c>
      <c r="B199" s="45"/>
      <c r="C199" s="105"/>
      <c r="D199" s="70">
        <f>SUM(D200:D202)</f>
        <v>696000</v>
      </c>
      <c r="E199" s="70">
        <f>SUM(E200:E202)</f>
        <v>0</v>
      </c>
      <c r="F199" s="70">
        <f>SUM(F200:F202)</f>
        <v>696000</v>
      </c>
      <c r="G199" s="70">
        <f>SUM(G200:G202)</f>
        <v>18000</v>
      </c>
      <c r="H199" s="70">
        <f t="shared" ref="H199:AD199" si="37">SUM(H200:H202)</f>
        <v>42610</v>
      </c>
      <c r="I199" s="70">
        <f t="shared" si="37"/>
        <v>83000</v>
      </c>
      <c r="J199" s="70">
        <f t="shared" si="37"/>
        <v>18000</v>
      </c>
      <c r="K199" s="70">
        <f t="shared" si="37"/>
        <v>18000</v>
      </c>
      <c r="L199" s="70">
        <f t="shared" si="37"/>
        <v>18000</v>
      </c>
      <c r="M199" s="70">
        <f t="shared" si="37"/>
        <v>18000</v>
      </c>
      <c r="N199" s="70">
        <f t="shared" si="37"/>
        <v>63390</v>
      </c>
      <c r="O199" s="70">
        <f t="shared" si="37"/>
        <v>18000</v>
      </c>
      <c r="P199" s="70">
        <f t="shared" si="37"/>
        <v>43000</v>
      </c>
      <c r="Q199" s="70">
        <f t="shared" si="37"/>
        <v>18000</v>
      </c>
      <c r="R199" s="70">
        <f t="shared" si="37"/>
        <v>358000</v>
      </c>
      <c r="S199" s="99">
        <f t="shared" si="37"/>
        <v>18000</v>
      </c>
      <c r="T199" s="70">
        <f t="shared" si="37"/>
        <v>18000</v>
      </c>
      <c r="U199" s="70">
        <f t="shared" si="37"/>
        <v>78000</v>
      </c>
      <c r="V199" s="70">
        <f t="shared" si="37"/>
        <v>18000</v>
      </c>
      <c r="W199" s="70">
        <f t="shared" si="37"/>
        <v>23000</v>
      </c>
      <c r="X199" s="70">
        <f t="shared" si="37"/>
        <v>18000</v>
      </c>
      <c r="Y199" s="70">
        <f t="shared" si="37"/>
        <v>23000</v>
      </c>
      <c r="Z199" s="70">
        <f t="shared" si="37"/>
        <v>18000</v>
      </c>
      <c r="AA199" s="70">
        <f t="shared" si="37"/>
        <v>23000</v>
      </c>
      <c r="AB199" s="70">
        <f t="shared" si="37"/>
        <v>18000</v>
      </c>
      <c r="AC199" s="70">
        <f t="shared" si="37"/>
        <v>83000</v>
      </c>
      <c r="AD199" s="70">
        <f t="shared" si="37"/>
        <v>338000</v>
      </c>
    </row>
    <row r="200" spans="1:30" ht="37.5" customHeight="1" x14ac:dyDescent="0.3">
      <c r="A200" s="1094"/>
      <c r="B200" s="7" t="s">
        <v>2</v>
      </c>
      <c r="C200" s="8" t="s">
        <v>38</v>
      </c>
      <c r="D200" s="23">
        <f>+R200+AD200</f>
        <v>396000</v>
      </c>
      <c r="E200" s="23"/>
      <c r="F200" s="74">
        <f t="shared" si="35"/>
        <v>396000</v>
      </c>
      <c r="G200" s="73">
        <v>18000</v>
      </c>
      <c r="H200" s="73">
        <v>18000</v>
      </c>
      <c r="I200" s="73">
        <v>18000</v>
      </c>
      <c r="J200" s="73">
        <v>18000</v>
      </c>
      <c r="K200" s="73">
        <v>18000</v>
      </c>
      <c r="L200" s="73">
        <v>18000</v>
      </c>
      <c r="M200" s="73">
        <v>18000</v>
      </c>
      <c r="N200" s="73">
        <v>18000</v>
      </c>
      <c r="O200" s="73">
        <v>18000</v>
      </c>
      <c r="P200" s="73">
        <v>18000</v>
      </c>
      <c r="Q200" s="73">
        <v>18000</v>
      </c>
      <c r="R200" s="82">
        <f>SUM(G200:Q200)</f>
        <v>198000</v>
      </c>
      <c r="S200" s="96">
        <v>18000</v>
      </c>
      <c r="T200" s="73">
        <v>18000</v>
      </c>
      <c r="U200" s="73">
        <v>18000</v>
      </c>
      <c r="V200" s="73">
        <v>18000</v>
      </c>
      <c r="W200" s="73">
        <v>18000</v>
      </c>
      <c r="X200" s="73">
        <v>18000</v>
      </c>
      <c r="Y200" s="73">
        <v>18000</v>
      </c>
      <c r="Z200" s="73">
        <v>18000</v>
      </c>
      <c r="AA200" s="73">
        <v>18000</v>
      </c>
      <c r="AB200" s="73">
        <v>18000</v>
      </c>
      <c r="AC200" s="73">
        <v>18000</v>
      </c>
      <c r="AD200" s="82">
        <f>SUM(S200:AC200)</f>
        <v>198000</v>
      </c>
    </row>
    <row r="201" spans="1:30" ht="72" x14ac:dyDescent="0.3">
      <c r="A201" s="1094"/>
      <c r="B201" s="6" t="s">
        <v>3</v>
      </c>
      <c r="C201" s="3" t="s">
        <v>39</v>
      </c>
      <c r="D201" s="23">
        <f>+R201+AD201</f>
        <v>150000</v>
      </c>
      <c r="E201" s="23"/>
      <c r="F201" s="74">
        <f t="shared" si="35"/>
        <v>150000</v>
      </c>
      <c r="G201" s="73">
        <f>+'F1,F2,F3,F4 (Desglose)'!H116</f>
        <v>0</v>
      </c>
      <c r="H201" s="73">
        <f>+'F1,F2,F3,F4 (Desglose)'!I116</f>
        <v>24610</v>
      </c>
      <c r="I201" s="73">
        <f>+'F1,F2,F3,F4 (Desglose)'!J116</f>
        <v>0</v>
      </c>
      <c r="J201" s="73">
        <f>+'F1,F2,F3,F4 (Desglose)'!K116</f>
        <v>0</v>
      </c>
      <c r="K201" s="73">
        <f>+'F1,F2,F3,F4 (Desglose)'!L116</f>
        <v>0</v>
      </c>
      <c r="L201" s="73">
        <f>+'F1,F2,F3,F4 (Desglose)'!M116</f>
        <v>0</v>
      </c>
      <c r="M201" s="73">
        <f>+'F1,F2,F3,F4 (Desglose)'!N116</f>
        <v>0</v>
      </c>
      <c r="N201" s="73">
        <f>+'F1,F2,F3,F4 (Desglose)'!O116</f>
        <v>20390</v>
      </c>
      <c r="O201" s="73">
        <f>+'F1,F2,F3,F4 (Desglose)'!P116</f>
        <v>0</v>
      </c>
      <c r="P201" s="73">
        <f>+'F1,F2,F3,F4 (Desglose)'!Q116</f>
        <v>25000</v>
      </c>
      <c r="Q201" s="73">
        <f>+'F1,F2,F3,F4 (Desglose)'!R116</f>
        <v>0</v>
      </c>
      <c r="R201" s="82">
        <f>SUM(G201:Q201)</f>
        <v>70000</v>
      </c>
      <c r="S201" s="96"/>
      <c r="T201" s="73"/>
      <c r="U201" s="73">
        <v>25000</v>
      </c>
      <c r="V201" s="73"/>
      <c r="W201" s="73">
        <v>5000</v>
      </c>
      <c r="X201" s="73"/>
      <c r="Y201" s="73">
        <v>5000</v>
      </c>
      <c r="Z201" s="73"/>
      <c r="AA201" s="73">
        <v>5000</v>
      </c>
      <c r="AB201" s="73"/>
      <c r="AC201" s="73">
        <v>40000</v>
      </c>
      <c r="AD201" s="82">
        <f>SUM(S201:AC201)</f>
        <v>80000</v>
      </c>
    </row>
    <row r="202" spans="1:30" ht="72" x14ac:dyDescent="0.3">
      <c r="A202" s="1094"/>
      <c r="B202" s="6" t="s">
        <v>4</v>
      </c>
      <c r="C202" s="3" t="s">
        <v>40</v>
      </c>
      <c r="D202" s="23">
        <f>+R202+AD202</f>
        <v>150000</v>
      </c>
      <c r="E202" s="23"/>
      <c r="F202" s="74">
        <f t="shared" si="35"/>
        <v>150000</v>
      </c>
      <c r="G202" s="73">
        <f>+'F1,F2,F3,F4 (Desglose)'!H117</f>
        <v>0</v>
      </c>
      <c r="H202" s="73">
        <f>+'F1,F2,F3,F4 (Desglose)'!I117</f>
        <v>0</v>
      </c>
      <c r="I202" s="73">
        <f>+'F1,F2,F3,F4 (Desglose)'!J117</f>
        <v>65000</v>
      </c>
      <c r="J202" s="73">
        <f>+'F1,F2,F3,F4 (Desglose)'!K117</f>
        <v>0</v>
      </c>
      <c r="K202" s="73">
        <f>+'F1,F2,F3,F4 (Desglose)'!L117</f>
        <v>0</v>
      </c>
      <c r="L202" s="73">
        <f>+'F1,F2,F3,F4 (Desglose)'!M117</f>
        <v>0</v>
      </c>
      <c r="M202" s="73">
        <f>+'F1,F2,F3,F4 (Desglose)'!N117</f>
        <v>0</v>
      </c>
      <c r="N202" s="73">
        <f>+'F1,F2,F3,F4 (Desglose)'!O117</f>
        <v>25000</v>
      </c>
      <c r="O202" s="73">
        <f>+'F1,F2,F3,F4 (Desglose)'!P117</f>
        <v>0</v>
      </c>
      <c r="P202" s="73">
        <f>+'F1,F2,F3,F4 (Desglose)'!Q117</f>
        <v>0</v>
      </c>
      <c r="Q202" s="73">
        <f>+'F1,F2,F3,F4 (Desglose)'!R117</f>
        <v>0</v>
      </c>
      <c r="R202" s="82">
        <f>SUM(G202:Q202)</f>
        <v>90000</v>
      </c>
      <c r="S202" s="73">
        <f>+'F1,F2,F3,F4 (Desglose)'!T117</f>
        <v>0</v>
      </c>
      <c r="T202" s="73">
        <f>+'F1,F2,F3,F4 (Desglose)'!U117</f>
        <v>0</v>
      </c>
      <c r="U202" s="73">
        <f>+'F1,F2,F3,F4 (Desglose)'!V117</f>
        <v>35000</v>
      </c>
      <c r="V202" s="73">
        <f>+'F1,F2,F3,F4 (Desglose)'!W117</f>
        <v>0</v>
      </c>
      <c r="W202" s="73">
        <f>+'F1,F2,F3,F4 (Desglose)'!X117</f>
        <v>0</v>
      </c>
      <c r="X202" s="73">
        <f>+'F1,F2,F3,F4 (Desglose)'!Y117</f>
        <v>0</v>
      </c>
      <c r="Y202" s="73">
        <f>+'F1,F2,F3,F4 (Desglose)'!Z117</f>
        <v>0</v>
      </c>
      <c r="Z202" s="73">
        <f>+'F1,F2,F3,F4 (Desglose)'!AA117</f>
        <v>0</v>
      </c>
      <c r="AA202" s="73">
        <f>+'F1,F2,F3,F4 (Desglose)'!AB117</f>
        <v>0</v>
      </c>
      <c r="AB202" s="73">
        <f>+'F1,F2,F3,F4 (Desglose)'!AC117</f>
        <v>0</v>
      </c>
      <c r="AC202" s="73">
        <f>+'F1,F2,F3,F4 (Desglose)'!AD117</f>
        <v>25000</v>
      </c>
      <c r="AD202" s="82">
        <f>SUM(S202:AC202)</f>
        <v>60000</v>
      </c>
    </row>
  </sheetData>
  <mergeCells count="70">
    <mergeCell ref="J2:M2"/>
    <mergeCell ref="J3:M3"/>
    <mergeCell ref="R10:S10"/>
    <mergeCell ref="A2:G2"/>
    <mergeCell ref="H2:I2"/>
    <mergeCell ref="H3:I3"/>
    <mergeCell ref="H4:I4"/>
    <mergeCell ref="H5:I5"/>
    <mergeCell ref="H6:I6"/>
    <mergeCell ref="H9:I9"/>
    <mergeCell ref="H7:I7"/>
    <mergeCell ref="H8:I8"/>
    <mergeCell ref="P10:Q10"/>
    <mergeCell ref="N10:O10"/>
    <mergeCell ref="L10:M10"/>
    <mergeCell ref="J10:K10"/>
    <mergeCell ref="H11:I11"/>
    <mergeCell ref="H10:I10"/>
    <mergeCell ref="H15:I15"/>
    <mergeCell ref="H12:I12"/>
    <mergeCell ref="H13:I13"/>
    <mergeCell ref="H16:I16"/>
    <mergeCell ref="A32:A46"/>
    <mergeCell ref="D20:D21"/>
    <mergeCell ref="E20:E21"/>
    <mergeCell ref="F20:F21"/>
    <mergeCell ref="G20:Q20"/>
    <mergeCell ref="H17:I17"/>
    <mergeCell ref="H18:I18"/>
    <mergeCell ref="R20:R21"/>
    <mergeCell ref="S20:AC20"/>
    <mergeCell ref="AD20:AD21"/>
    <mergeCell ref="A25:C25"/>
    <mergeCell ref="A27:A31"/>
    <mergeCell ref="A87:A89"/>
    <mergeCell ref="A48:C48"/>
    <mergeCell ref="A49:A52"/>
    <mergeCell ref="A53:C53"/>
    <mergeCell ref="A55:F55"/>
    <mergeCell ref="A56:A58"/>
    <mergeCell ref="A60:A64"/>
    <mergeCell ref="A67:A69"/>
    <mergeCell ref="A72:A76"/>
    <mergeCell ref="A77:A79"/>
    <mergeCell ref="A80:A82"/>
    <mergeCell ref="A84:A86"/>
    <mergeCell ref="A147:A149"/>
    <mergeCell ref="A90:C90"/>
    <mergeCell ref="A93:A102"/>
    <mergeCell ref="A104:A109"/>
    <mergeCell ref="A112:A113"/>
    <mergeCell ref="A114:A118"/>
    <mergeCell ref="A119:A122"/>
    <mergeCell ref="A124:A127"/>
    <mergeCell ref="A128:C128"/>
    <mergeCell ref="A131:A136"/>
    <mergeCell ref="A138:A142"/>
    <mergeCell ref="A145:A146"/>
    <mergeCell ref="A199:A202"/>
    <mergeCell ref="A150:A153"/>
    <mergeCell ref="A154:A156"/>
    <mergeCell ref="A159:C159"/>
    <mergeCell ref="A161:A164"/>
    <mergeCell ref="A165:A170"/>
    <mergeCell ref="A171:A176"/>
    <mergeCell ref="A177:A179"/>
    <mergeCell ref="A180:A184"/>
    <mergeCell ref="A185:C185"/>
    <mergeCell ref="A188:A192"/>
    <mergeCell ref="A193:A195"/>
  </mergeCells>
  <printOptions horizontalCentered="1"/>
  <pageMargins left="0.23622047244094491" right="0.23622047244094491" top="0.74803149606299213" bottom="0.74803149606299213" header="0.31496062992125984" footer="0.31496062992125984"/>
  <pageSetup paperSize="345" scale="40" fitToHeight="0" orientation="landscape" r:id="rId1"/>
  <headerFooter>
    <oddFooter>&amp;C&amp;12POM 2021-2022
Página &amp;P de &amp;N</oddFooter>
  </headerFooter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</sheetPr>
  <dimension ref="A1:G142"/>
  <sheetViews>
    <sheetView zoomScale="80" zoomScaleNormal="80" workbookViewId="0">
      <pane xSplit="3" ySplit="5" topLeftCell="D131" activePane="bottomRight" state="frozen"/>
      <selection pane="topRight" activeCell="D1" sqref="D1"/>
      <selection pane="bottomLeft" activeCell="A6" sqref="A6"/>
      <selection pane="bottomRight" activeCell="H135" sqref="H135"/>
    </sheetView>
  </sheetViews>
  <sheetFormatPr baseColWidth="10" defaultRowHeight="14.4" x14ac:dyDescent="0.3"/>
  <cols>
    <col min="1" max="1" width="29.5546875" style="51" customWidth="1"/>
    <col min="2" max="2" width="5.33203125" style="30" customWidth="1"/>
    <col min="3" max="3" width="38.44140625" style="109" customWidth="1"/>
    <col min="4" max="4" width="12.109375" style="444" customWidth="1"/>
    <col min="5" max="5" width="46.109375" style="51" customWidth="1"/>
    <col min="6" max="6" width="18.44140625" style="444" customWidth="1"/>
    <col min="7" max="7" width="18.33203125" style="444" customWidth="1"/>
  </cols>
  <sheetData>
    <row r="1" spans="1:7" s="4" customFormat="1" ht="23.4" x14ac:dyDescent="0.3">
      <c r="A1" s="48" t="s">
        <v>46</v>
      </c>
      <c r="B1" s="34"/>
      <c r="C1" s="101"/>
      <c r="D1" s="441"/>
      <c r="E1" s="443"/>
      <c r="F1" s="445"/>
      <c r="G1" s="446"/>
    </row>
    <row r="2" spans="1:7" s="4" customFormat="1" ht="23.25" x14ac:dyDescent="0.25">
      <c r="A2" s="48" t="s">
        <v>47</v>
      </c>
      <c r="B2" s="34"/>
      <c r="C2" s="101"/>
      <c r="D2" s="441"/>
      <c r="E2" s="443"/>
      <c r="F2" s="445"/>
      <c r="G2" s="446"/>
    </row>
    <row r="3" spans="1:7" s="4" customFormat="1" ht="44.25" customHeight="1" x14ac:dyDescent="0.3">
      <c r="A3" s="1141" t="s">
        <v>465</v>
      </c>
      <c r="B3" s="1141"/>
      <c r="C3" s="1141"/>
      <c r="D3" s="1141"/>
      <c r="E3" s="1141"/>
      <c r="F3" s="1141"/>
      <c r="G3" s="1141"/>
    </row>
    <row r="4" spans="1:7" ht="30" customHeight="1" x14ac:dyDescent="0.25">
      <c r="A4" s="1146" t="s">
        <v>48</v>
      </c>
      <c r="B4" s="1147"/>
      <c r="C4" s="1147"/>
      <c r="D4" s="1147"/>
      <c r="E4" s="1148"/>
      <c r="F4" s="1149" t="s">
        <v>363</v>
      </c>
      <c r="G4" s="1150"/>
    </row>
    <row r="5" spans="1:7" ht="39.75" customHeight="1" x14ac:dyDescent="0.3">
      <c r="A5" s="376" t="s">
        <v>49</v>
      </c>
      <c r="B5" s="448" t="s">
        <v>50</v>
      </c>
      <c r="C5" s="449" t="s">
        <v>450</v>
      </c>
      <c r="D5" s="468" t="s">
        <v>451</v>
      </c>
      <c r="E5" s="383" t="s">
        <v>452</v>
      </c>
      <c r="F5" s="462">
        <v>2021</v>
      </c>
      <c r="G5" s="462">
        <v>2022</v>
      </c>
    </row>
    <row r="6" spans="1:7" s="62" customFormat="1" ht="38.25" customHeight="1" x14ac:dyDescent="0.3">
      <c r="A6" s="1120" t="s">
        <v>213</v>
      </c>
      <c r="B6" s="1120"/>
      <c r="C6" s="1120"/>
      <c r="D6" s="1120"/>
      <c r="E6" s="1120"/>
      <c r="F6" s="1120"/>
      <c r="G6" s="1120"/>
    </row>
    <row r="7" spans="1:7" ht="36.75" customHeight="1" x14ac:dyDescent="0.3">
      <c r="A7" s="1142" t="s">
        <v>187</v>
      </c>
      <c r="B7" s="1142"/>
      <c r="C7" s="1142"/>
      <c r="D7" s="1142"/>
      <c r="E7" s="1142"/>
      <c r="F7" s="1142"/>
      <c r="G7" s="1142"/>
    </row>
    <row r="8" spans="1:7" s="67" customFormat="1" ht="37.5" customHeight="1" x14ac:dyDescent="0.3">
      <c r="A8" s="1085" t="s">
        <v>208</v>
      </c>
      <c r="B8" s="1086"/>
      <c r="C8" s="1086"/>
      <c r="D8" s="1086"/>
      <c r="E8" s="1086"/>
      <c r="F8" s="1086"/>
      <c r="G8" s="1087"/>
    </row>
    <row r="9" spans="1:7" ht="22.5" customHeight="1" x14ac:dyDescent="0.3">
      <c r="A9" s="1131" t="s">
        <v>92</v>
      </c>
      <c r="B9" s="40"/>
      <c r="C9" s="108"/>
      <c r="D9" s="442">
        <f>SUM(D10:D14)</f>
        <v>140</v>
      </c>
      <c r="E9" s="440" t="s">
        <v>461</v>
      </c>
      <c r="F9" s="442">
        <f>SUM(F10:F14)</f>
        <v>80</v>
      </c>
      <c r="G9" s="442">
        <f>SUM(G10:G14)</f>
        <v>60</v>
      </c>
    </row>
    <row r="10" spans="1:7" ht="22.5" customHeight="1" x14ac:dyDescent="0.3">
      <c r="A10" s="1131"/>
      <c r="B10" s="1138" t="s">
        <v>2</v>
      </c>
      <c r="C10" s="1143" t="s">
        <v>114</v>
      </c>
      <c r="D10" s="456">
        <v>7</v>
      </c>
      <c r="E10" s="457" t="s">
        <v>453</v>
      </c>
      <c r="F10" s="459">
        <v>5</v>
      </c>
      <c r="G10" s="459">
        <v>2</v>
      </c>
    </row>
    <row r="11" spans="1:7" s="62" customFormat="1" ht="18.75" customHeight="1" x14ac:dyDescent="0.3">
      <c r="A11" s="1131"/>
      <c r="B11" s="1151"/>
      <c r="C11" s="1144"/>
      <c r="D11" s="456">
        <v>4</v>
      </c>
      <c r="E11" s="457" t="s">
        <v>454</v>
      </c>
      <c r="F11" s="459">
        <v>4</v>
      </c>
      <c r="G11" s="459"/>
    </row>
    <row r="12" spans="1:7" s="62" customFormat="1" x14ac:dyDescent="0.3">
      <c r="A12" s="1131"/>
      <c r="B12" s="1151"/>
      <c r="C12" s="1144"/>
      <c r="D12" s="456">
        <v>14</v>
      </c>
      <c r="E12" s="457" t="s">
        <v>455</v>
      </c>
      <c r="F12" s="459">
        <v>10</v>
      </c>
      <c r="G12" s="459">
        <v>4</v>
      </c>
    </row>
    <row r="13" spans="1:7" s="62" customFormat="1" x14ac:dyDescent="0.3">
      <c r="A13" s="1131"/>
      <c r="B13" s="1139"/>
      <c r="C13" s="1145"/>
      <c r="D13" s="456">
        <v>1</v>
      </c>
      <c r="E13" s="458" t="s">
        <v>469</v>
      </c>
      <c r="F13" s="459">
        <v>1</v>
      </c>
      <c r="G13" s="459"/>
    </row>
    <row r="14" spans="1:7" s="118" customFormat="1" ht="61.5" customHeight="1" x14ac:dyDescent="0.3">
      <c r="A14" s="1131"/>
      <c r="B14" s="63" t="s">
        <v>3</v>
      </c>
      <c r="C14" s="64" t="s">
        <v>456</v>
      </c>
      <c r="D14" s="456">
        <v>114</v>
      </c>
      <c r="E14" s="457" t="s">
        <v>457</v>
      </c>
      <c r="F14" s="459">
        <v>60</v>
      </c>
      <c r="G14" s="460">
        <v>54</v>
      </c>
    </row>
    <row r="15" spans="1:7" s="67" customFormat="1" ht="32.25" customHeight="1" x14ac:dyDescent="0.3">
      <c r="A15" s="1085" t="s">
        <v>209</v>
      </c>
      <c r="B15" s="1086"/>
      <c r="C15" s="1086"/>
      <c r="D15" s="1086"/>
      <c r="E15" s="1086"/>
      <c r="F15" s="1086"/>
      <c r="G15" s="1087"/>
    </row>
    <row r="16" spans="1:7" ht="24.75" customHeight="1" x14ac:dyDescent="0.3">
      <c r="A16" s="1088" t="s">
        <v>110</v>
      </c>
      <c r="B16" s="40"/>
      <c r="C16" s="108"/>
      <c r="D16" s="442">
        <f>SUM(D17:D22)</f>
        <v>154</v>
      </c>
      <c r="E16" s="440" t="s">
        <v>461</v>
      </c>
      <c r="F16" s="442">
        <f>SUM(F17:F22)</f>
        <v>82</v>
      </c>
      <c r="G16" s="442">
        <f>SUM(G17:G22)</f>
        <v>72</v>
      </c>
    </row>
    <row r="17" spans="1:7" s="62" customFormat="1" ht="27" customHeight="1" x14ac:dyDescent="0.3">
      <c r="A17" s="1088"/>
      <c r="B17" s="1140" t="s">
        <v>2</v>
      </c>
      <c r="C17" s="1093" t="s">
        <v>207</v>
      </c>
      <c r="D17" s="456">
        <v>7</v>
      </c>
      <c r="E17" s="457" t="s">
        <v>458</v>
      </c>
      <c r="F17" s="459">
        <v>4</v>
      </c>
      <c r="G17" s="459">
        <v>3</v>
      </c>
    </row>
    <row r="18" spans="1:7" s="62" customFormat="1" ht="25.5" customHeight="1" x14ac:dyDescent="0.3">
      <c r="A18" s="1088"/>
      <c r="B18" s="1140"/>
      <c r="C18" s="1093"/>
      <c r="D18" s="456">
        <v>7</v>
      </c>
      <c r="E18" s="457" t="s">
        <v>459</v>
      </c>
      <c r="F18" s="459">
        <v>4</v>
      </c>
      <c r="G18" s="459">
        <v>3</v>
      </c>
    </row>
    <row r="19" spans="1:7" s="62" customFormat="1" ht="19.5" customHeight="1" x14ac:dyDescent="0.3">
      <c r="A19" s="1088"/>
      <c r="B19" s="1140"/>
      <c r="C19" s="1093"/>
      <c r="D19" s="456">
        <v>14</v>
      </c>
      <c r="E19" s="457" t="s">
        <v>460</v>
      </c>
      <c r="F19" s="459">
        <v>8</v>
      </c>
      <c r="G19" s="459">
        <v>6</v>
      </c>
    </row>
    <row r="20" spans="1:7" s="62" customFormat="1" ht="69.75" customHeight="1" x14ac:dyDescent="0.3">
      <c r="A20" s="1088"/>
      <c r="B20" s="63" t="s">
        <v>3</v>
      </c>
      <c r="C20" s="64" t="s">
        <v>462</v>
      </c>
      <c r="D20" s="456">
        <v>114</v>
      </c>
      <c r="E20" s="457" t="s">
        <v>457</v>
      </c>
      <c r="F20" s="459">
        <v>60</v>
      </c>
      <c r="G20" s="460">
        <v>54</v>
      </c>
    </row>
    <row r="21" spans="1:7" s="62" customFormat="1" ht="68.25" customHeight="1" x14ac:dyDescent="0.3">
      <c r="A21" s="1088"/>
      <c r="B21" s="63" t="s">
        <v>4</v>
      </c>
      <c r="C21" s="64" t="s">
        <v>391</v>
      </c>
      <c r="D21" s="456">
        <v>6</v>
      </c>
      <c r="E21" s="458" t="s">
        <v>463</v>
      </c>
      <c r="F21" s="459">
        <v>3</v>
      </c>
      <c r="G21" s="460">
        <v>3</v>
      </c>
    </row>
    <row r="22" spans="1:7" s="62" customFormat="1" ht="93" customHeight="1" x14ac:dyDescent="0.3">
      <c r="A22" s="1088"/>
      <c r="B22" s="63" t="s">
        <v>8</v>
      </c>
      <c r="C22" s="64" t="s">
        <v>392</v>
      </c>
      <c r="D22" s="456">
        <v>6</v>
      </c>
      <c r="E22" s="458" t="s">
        <v>464</v>
      </c>
      <c r="F22" s="459">
        <v>3</v>
      </c>
      <c r="G22" s="460">
        <v>3</v>
      </c>
    </row>
    <row r="23" spans="1:7" s="67" customFormat="1" ht="40.5" customHeight="1" x14ac:dyDescent="0.3">
      <c r="A23" s="1142" t="s">
        <v>186</v>
      </c>
      <c r="B23" s="1142"/>
      <c r="C23" s="1142"/>
      <c r="D23" s="1142"/>
      <c r="E23" s="1142"/>
      <c r="F23" s="1142"/>
      <c r="G23" s="1142" t="e">
        <f>SUM(#REF!)</f>
        <v>#REF!</v>
      </c>
    </row>
    <row r="24" spans="1:7" s="67" customFormat="1" ht="43.5" customHeight="1" x14ac:dyDescent="0.3">
      <c r="A24" s="1085" t="s">
        <v>210</v>
      </c>
      <c r="B24" s="1086"/>
      <c r="C24" s="1086"/>
      <c r="D24" s="1086"/>
      <c r="E24" s="1086"/>
      <c r="F24" s="1086"/>
      <c r="G24" s="1087" t="e">
        <f>SUM(#REF!)</f>
        <v>#REF!</v>
      </c>
    </row>
    <row r="25" spans="1:7" ht="25.5" customHeight="1" x14ac:dyDescent="0.3">
      <c r="A25" s="1088" t="s">
        <v>178</v>
      </c>
      <c r="B25" s="40"/>
      <c r="C25" s="108"/>
      <c r="D25" s="442">
        <f>SUM(D26:D30)</f>
        <v>8</v>
      </c>
      <c r="E25" s="440" t="s">
        <v>461</v>
      </c>
      <c r="F25" s="442">
        <f>SUM(F26:F30)</f>
        <v>6</v>
      </c>
      <c r="G25" s="442">
        <f>SUM(G26:G30)</f>
        <v>4</v>
      </c>
    </row>
    <row r="26" spans="1:7" s="62" customFormat="1" ht="30.75" customHeight="1" x14ac:dyDescent="0.3">
      <c r="A26" s="1088"/>
      <c r="B26" s="1138" t="s">
        <v>2</v>
      </c>
      <c r="C26" s="1132" t="s">
        <v>184</v>
      </c>
      <c r="D26" s="456">
        <v>1</v>
      </c>
      <c r="E26" s="457" t="s">
        <v>466</v>
      </c>
      <c r="F26" s="459">
        <v>1</v>
      </c>
      <c r="G26" s="459"/>
    </row>
    <row r="27" spans="1:7" s="62" customFormat="1" ht="30.75" customHeight="1" x14ac:dyDescent="0.3">
      <c r="A27" s="1088"/>
      <c r="B27" s="1151"/>
      <c r="C27" s="1133"/>
      <c r="D27" s="456">
        <v>1</v>
      </c>
      <c r="E27" s="458" t="s">
        <v>533</v>
      </c>
      <c r="F27" s="459">
        <v>1</v>
      </c>
      <c r="G27" s="459"/>
    </row>
    <row r="28" spans="1:7" s="62" customFormat="1" ht="37.5" customHeight="1" x14ac:dyDescent="0.3">
      <c r="A28" s="1088"/>
      <c r="B28" s="1151"/>
      <c r="C28" s="1133"/>
      <c r="D28" s="456">
        <v>1</v>
      </c>
      <c r="E28" s="458" t="s">
        <v>470</v>
      </c>
      <c r="F28" s="459">
        <v>1</v>
      </c>
      <c r="G28" s="459">
        <v>1</v>
      </c>
    </row>
    <row r="29" spans="1:7" s="62" customFormat="1" ht="23.25" customHeight="1" x14ac:dyDescent="0.3">
      <c r="A29" s="1088"/>
      <c r="B29" s="1139"/>
      <c r="C29" s="1134"/>
      <c r="D29" s="456">
        <v>1</v>
      </c>
      <c r="E29" s="457" t="s">
        <v>467</v>
      </c>
      <c r="F29" s="459">
        <v>1</v>
      </c>
      <c r="G29" s="459">
        <v>1</v>
      </c>
    </row>
    <row r="30" spans="1:7" s="62" customFormat="1" ht="66.75" customHeight="1" x14ac:dyDescent="0.3">
      <c r="A30" s="1088"/>
      <c r="B30" s="63" t="s">
        <v>2</v>
      </c>
      <c r="C30" s="64" t="s">
        <v>222</v>
      </c>
      <c r="D30" s="456">
        <v>4</v>
      </c>
      <c r="E30" s="458" t="s">
        <v>468</v>
      </c>
      <c r="F30" s="459">
        <v>2</v>
      </c>
      <c r="G30" s="459">
        <v>2</v>
      </c>
    </row>
    <row r="31" spans="1:7" s="67" customFormat="1" ht="39.75" customHeight="1" x14ac:dyDescent="0.3">
      <c r="A31" s="1142" t="s">
        <v>534</v>
      </c>
      <c r="B31" s="1142"/>
      <c r="C31" s="1142"/>
      <c r="D31" s="1142"/>
      <c r="E31" s="1142"/>
      <c r="F31" s="1142"/>
      <c r="G31" s="1142" t="e">
        <f>SUM(#REF!)</f>
        <v>#REF!</v>
      </c>
    </row>
    <row r="32" spans="1:7" s="67" customFormat="1" ht="47.25" customHeight="1" x14ac:dyDescent="0.3">
      <c r="A32" s="1085" t="s">
        <v>211</v>
      </c>
      <c r="B32" s="1086"/>
      <c r="C32" s="1086"/>
      <c r="D32" s="1086"/>
      <c r="E32" s="1086"/>
      <c r="F32" s="1086"/>
      <c r="G32" s="1087" t="e">
        <f>SUM(#REF!)</f>
        <v>#REF!</v>
      </c>
    </row>
    <row r="33" spans="1:7" ht="24" customHeight="1" x14ac:dyDescent="0.3">
      <c r="A33" s="1131" t="s">
        <v>94</v>
      </c>
      <c r="B33" s="40"/>
      <c r="C33" s="108"/>
      <c r="D33" s="442">
        <f>SUM(D34:D37)</f>
        <v>36</v>
      </c>
      <c r="E33" s="440" t="s">
        <v>461</v>
      </c>
      <c r="F33" s="442">
        <f>SUM(F34:F37)</f>
        <v>18</v>
      </c>
      <c r="G33" s="442">
        <f>SUM(G34:G37)</f>
        <v>18</v>
      </c>
    </row>
    <row r="34" spans="1:7" s="62" customFormat="1" ht="75" customHeight="1" x14ac:dyDescent="0.3">
      <c r="A34" s="1131"/>
      <c r="B34" s="63" t="s">
        <v>2</v>
      </c>
      <c r="C34" s="64" t="s">
        <v>214</v>
      </c>
      <c r="D34" s="456">
        <v>24</v>
      </c>
      <c r="E34" s="458" t="s">
        <v>474</v>
      </c>
      <c r="F34" s="459">
        <v>12</v>
      </c>
      <c r="G34" s="459">
        <v>12</v>
      </c>
    </row>
    <row r="35" spans="1:7" s="118" customFormat="1" ht="82.5" customHeight="1" x14ac:dyDescent="0.3">
      <c r="A35" s="1131"/>
      <c r="B35" s="63" t="s">
        <v>3</v>
      </c>
      <c r="C35" s="64" t="s">
        <v>188</v>
      </c>
      <c r="D35" s="456">
        <v>5</v>
      </c>
      <c r="E35" s="458" t="s">
        <v>473</v>
      </c>
      <c r="F35" s="459">
        <v>3</v>
      </c>
      <c r="G35" s="459">
        <v>2</v>
      </c>
    </row>
    <row r="36" spans="1:7" s="118" customFormat="1" ht="28.8" x14ac:dyDescent="0.3">
      <c r="A36" s="1131"/>
      <c r="B36" s="63" t="s">
        <v>4</v>
      </c>
      <c r="C36" s="64" t="s">
        <v>181</v>
      </c>
      <c r="D36" s="456">
        <v>4</v>
      </c>
      <c r="E36" s="458" t="s">
        <v>472</v>
      </c>
      <c r="F36" s="459">
        <v>2</v>
      </c>
      <c r="G36" s="459">
        <v>2</v>
      </c>
    </row>
    <row r="37" spans="1:7" s="118" customFormat="1" ht="58.5" customHeight="1" x14ac:dyDescent="0.3">
      <c r="A37" s="1131"/>
      <c r="B37" s="63" t="s">
        <v>8</v>
      </c>
      <c r="C37" s="64" t="s">
        <v>535</v>
      </c>
      <c r="D37" s="456">
        <v>3</v>
      </c>
      <c r="E37" s="458" t="s">
        <v>471</v>
      </c>
      <c r="F37" s="459">
        <v>1</v>
      </c>
      <c r="G37" s="460">
        <v>2</v>
      </c>
    </row>
    <row r="38" spans="1:7" ht="24" customHeight="1" x14ac:dyDescent="0.3">
      <c r="A38" s="1131" t="s">
        <v>95</v>
      </c>
      <c r="B38" s="40"/>
      <c r="C38" s="108"/>
      <c r="D38" s="442">
        <f>SUM(D39:D42)</f>
        <v>15</v>
      </c>
      <c r="E38" s="440" t="s">
        <v>461</v>
      </c>
      <c r="F38" s="442">
        <f>SUM(F39:F42)</f>
        <v>13</v>
      </c>
      <c r="G38" s="442">
        <f>SUM(G39:G42)</f>
        <v>2</v>
      </c>
    </row>
    <row r="39" spans="1:7" s="62" customFormat="1" ht="35.25" customHeight="1" x14ac:dyDescent="0.3">
      <c r="A39" s="1131"/>
      <c r="B39" s="1157" t="s">
        <v>2</v>
      </c>
      <c r="C39" s="1135" t="s">
        <v>195</v>
      </c>
      <c r="D39" s="456">
        <v>1</v>
      </c>
      <c r="E39" s="458" t="s">
        <v>476</v>
      </c>
      <c r="F39" s="459">
        <v>1</v>
      </c>
      <c r="G39" s="459"/>
    </row>
    <row r="40" spans="1:7" s="62" customFormat="1" ht="51.75" customHeight="1" x14ac:dyDescent="0.3">
      <c r="A40" s="1131"/>
      <c r="B40" s="1158"/>
      <c r="C40" s="1136"/>
      <c r="D40" s="456">
        <v>3</v>
      </c>
      <c r="E40" s="458" t="s">
        <v>536</v>
      </c>
      <c r="F40" s="459">
        <v>1</v>
      </c>
      <c r="G40" s="459">
        <v>2</v>
      </c>
    </row>
    <row r="41" spans="1:7" s="62" customFormat="1" ht="56.25" customHeight="1" x14ac:dyDescent="0.3">
      <c r="A41" s="1131"/>
      <c r="B41" s="1159"/>
      <c r="C41" s="1137"/>
      <c r="D41" s="456">
        <v>8</v>
      </c>
      <c r="E41" s="458" t="s">
        <v>537</v>
      </c>
      <c r="F41" s="459">
        <v>8</v>
      </c>
      <c r="G41" s="459"/>
    </row>
    <row r="42" spans="1:7" s="62" customFormat="1" ht="110.25" customHeight="1" x14ac:dyDescent="0.3">
      <c r="A42" s="1131"/>
      <c r="B42" s="362" t="s">
        <v>3</v>
      </c>
      <c r="C42" s="274" t="s">
        <v>538</v>
      </c>
      <c r="D42" s="456">
        <v>3</v>
      </c>
      <c r="E42" s="458" t="s">
        <v>475</v>
      </c>
      <c r="F42" s="459">
        <v>3</v>
      </c>
      <c r="G42" s="459"/>
    </row>
    <row r="43" spans="1:7" ht="22.5" customHeight="1" x14ac:dyDescent="0.3">
      <c r="A43" s="1088" t="s">
        <v>221</v>
      </c>
      <c r="B43" s="40"/>
      <c r="C43" s="108"/>
      <c r="D43" s="442">
        <f>SUM(D44:D46)</f>
        <v>4</v>
      </c>
      <c r="E43" s="440" t="s">
        <v>461</v>
      </c>
      <c r="F43" s="442">
        <f>SUM(F44:F46)</f>
        <v>2</v>
      </c>
      <c r="G43" s="442">
        <f>SUM(G44:G46)</f>
        <v>2</v>
      </c>
    </row>
    <row r="44" spans="1:7" s="118" customFormat="1" ht="42" customHeight="1" x14ac:dyDescent="0.3">
      <c r="A44" s="1088"/>
      <c r="B44" s="1138" t="s">
        <v>2</v>
      </c>
      <c r="C44" s="1143" t="s">
        <v>389</v>
      </c>
      <c r="D44" s="456">
        <v>1</v>
      </c>
      <c r="E44" s="458" t="s">
        <v>477</v>
      </c>
      <c r="F44" s="459">
        <v>1</v>
      </c>
      <c r="G44" s="459"/>
    </row>
    <row r="45" spans="1:7" s="118" customFormat="1" ht="27" customHeight="1" x14ac:dyDescent="0.3">
      <c r="A45" s="1088"/>
      <c r="B45" s="1139"/>
      <c r="C45" s="1145"/>
      <c r="D45" s="456">
        <v>2</v>
      </c>
      <c r="E45" s="458" t="s">
        <v>478</v>
      </c>
      <c r="F45" s="459">
        <v>1</v>
      </c>
      <c r="G45" s="459">
        <v>1</v>
      </c>
    </row>
    <row r="46" spans="1:7" s="118" customFormat="1" ht="63" customHeight="1" x14ac:dyDescent="0.3">
      <c r="A46" s="1088"/>
      <c r="B46" s="63" t="s">
        <v>3</v>
      </c>
      <c r="C46" s="64" t="s">
        <v>390</v>
      </c>
      <c r="D46" s="456">
        <v>1</v>
      </c>
      <c r="E46" s="458" t="s">
        <v>479</v>
      </c>
      <c r="F46" s="459"/>
      <c r="G46" s="459">
        <v>1</v>
      </c>
    </row>
    <row r="47" spans="1:7" s="67" customFormat="1" ht="42.75" customHeight="1" x14ac:dyDescent="0.3">
      <c r="A47" s="1085" t="s">
        <v>212</v>
      </c>
      <c r="B47" s="1086"/>
      <c r="C47" s="1086"/>
      <c r="D47" s="1086"/>
      <c r="E47" s="1086"/>
      <c r="F47" s="1086"/>
      <c r="G47" s="1087" t="e">
        <f>SUM(#REF!)</f>
        <v>#REF!</v>
      </c>
    </row>
    <row r="48" spans="1:7" ht="22.5" customHeight="1" x14ac:dyDescent="0.3">
      <c r="A48" s="1131" t="s">
        <v>112</v>
      </c>
      <c r="B48" s="40"/>
      <c r="C48" s="108"/>
      <c r="D48" s="442">
        <f>SUM(D49:D50)</f>
        <v>111</v>
      </c>
      <c r="E48" s="440" t="s">
        <v>461</v>
      </c>
      <c r="F48" s="442">
        <f>SUM(F49:F50)</f>
        <v>44</v>
      </c>
      <c r="G48" s="442">
        <f>SUM(G49:G50)</f>
        <v>67</v>
      </c>
    </row>
    <row r="49" spans="1:7" s="118" customFormat="1" ht="73.5" customHeight="1" x14ac:dyDescent="0.3">
      <c r="A49" s="1131"/>
      <c r="B49" s="63" t="s">
        <v>2</v>
      </c>
      <c r="C49" s="64" t="s">
        <v>539</v>
      </c>
      <c r="D49" s="456">
        <v>88</v>
      </c>
      <c r="E49" s="458" t="s">
        <v>480</v>
      </c>
      <c r="F49" s="459">
        <v>44</v>
      </c>
      <c r="G49" s="459">
        <v>44</v>
      </c>
    </row>
    <row r="50" spans="1:7" s="118" customFormat="1" ht="77.25" customHeight="1" x14ac:dyDescent="0.3">
      <c r="A50" s="1131"/>
      <c r="B50" s="63" t="s">
        <v>3</v>
      </c>
      <c r="C50" s="64" t="s">
        <v>540</v>
      </c>
      <c r="D50" s="456">
        <v>23</v>
      </c>
      <c r="E50" s="458" t="s">
        <v>481</v>
      </c>
      <c r="F50" s="459"/>
      <c r="G50" s="459">
        <v>23</v>
      </c>
    </row>
    <row r="51" spans="1:7" ht="22.5" customHeight="1" x14ac:dyDescent="0.3">
      <c r="A51" s="1088" t="s">
        <v>113</v>
      </c>
      <c r="B51" s="40"/>
      <c r="C51" s="108"/>
      <c r="D51" s="442">
        <f>SUM(D52:D53)</f>
        <v>27</v>
      </c>
      <c r="E51" s="440" t="s">
        <v>461</v>
      </c>
      <c r="F51" s="442">
        <f>SUM(F52:F53)</f>
        <v>9</v>
      </c>
      <c r="G51" s="442">
        <f>SUM(G52:G53)</f>
        <v>18</v>
      </c>
    </row>
    <row r="52" spans="1:7" s="118" customFormat="1" ht="83.25" customHeight="1" x14ac:dyDescent="0.3">
      <c r="A52" s="1088"/>
      <c r="B52" s="63" t="s">
        <v>2</v>
      </c>
      <c r="C52" s="64" t="s">
        <v>394</v>
      </c>
      <c r="D52" s="456">
        <v>18</v>
      </c>
      <c r="E52" s="458" t="s">
        <v>482</v>
      </c>
      <c r="F52" s="459">
        <v>9</v>
      </c>
      <c r="G52" s="459">
        <v>9</v>
      </c>
    </row>
    <row r="53" spans="1:7" s="118" customFormat="1" ht="81" customHeight="1" x14ac:dyDescent="0.3">
      <c r="A53" s="1088"/>
      <c r="B53" s="63" t="s">
        <v>3</v>
      </c>
      <c r="C53" s="64" t="s">
        <v>393</v>
      </c>
      <c r="D53" s="456">
        <v>9</v>
      </c>
      <c r="E53" s="458" t="s">
        <v>483</v>
      </c>
      <c r="F53" s="459"/>
      <c r="G53" s="459">
        <v>9</v>
      </c>
    </row>
    <row r="54" spans="1:7" s="89" customFormat="1" ht="51" customHeight="1" x14ac:dyDescent="0.3">
      <c r="A54" s="1090" t="s">
        <v>98</v>
      </c>
      <c r="B54" s="1091"/>
      <c r="C54" s="1091"/>
      <c r="D54" s="1091"/>
      <c r="E54" s="1091"/>
      <c r="F54" s="1091"/>
      <c r="G54" s="1092"/>
    </row>
    <row r="55" spans="1:7" s="67" customFormat="1" ht="34.5" customHeight="1" x14ac:dyDescent="0.3">
      <c r="A55" s="1142" t="s">
        <v>253</v>
      </c>
      <c r="B55" s="1142"/>
      <c r="C55" s="1142"/>
      <c r="D55" s="1142"/>
      <c r="E55" s="1142"/>
      <c r="F55" s="1142"/>
      <c r="G55" s="1142"/>
    </row>
    <row r="56" spans="1:7" s="67" customFormat="1" ht="37.5" customHeight="1" x14ac:dyDescent="0.3">
      <c r="A56" s="1085" t="s">
        <v>252</v>
      </c>
      <c r="B56" s="1086"/>
      <c r="C56" s="1086"/>
      <c r="D56" s="1086"/>
      <c r="E56" s="1086"/>
      <c r="F56" s="1086"/>
      <c r="G56" s="1087"/>
    </row>
    <row r="57" spans="1:7" ht="32.25" customHeight="1" x14ac:dyDescent="0.3">
      <c r="A57" s="1094" t="s">
        <v>353</v>
      </c>
      <c r="B57" s="40"/>
      <c r="C57" s="463"/>
      <c r="D57" s="442">
        <f>SUM(D58:D71)</f>
        <v>117</v>
      </c>
      <c r="E57" s="440" t="s">
        <v>461</v>
      </c>
      <c r="F57" s="442">
        <f>SUM(F58:F71)</f>
        <v>89</v>
      </c>
      <c r="G57" s="442">
        <f>SUM(G58:G71)</f>
        <v>28</v>
      </c>
    </row>
    <row r="58" spans="1:7" s="315" customFormat="1" ht="37.5" customHeight="1" x14ac:dyDescent="0.3">
      <c r="A58" s="1094"/>
      <c r="B58" s="1154" t="s">
        <v>2</v>
      </c>
      <c r="C58" s="1135" t="s">
        <v>223</v>
      </c>
      <c r="D58" s="456">
        <v>1</v>
      </c>
      <c r="E58" s="458" t="s">
        <v>493</v>
      </c>
      <c r="F58" s="459">
        <v>1</v>
      </c>
      <c r="G58" s="459"/>
    </row>
    <row r="59" spans="1:7" s="315" customFormat="1" ht="32.25" customHeight="1" x14ac:dyDescent="0.3">
      <c r="A59" s="1094"/>
      <c r="B59" s="1155"/>
      <c r="C59" s="1136"/>
      <c r="D59" s="456">
        <v>1</v>
      </c>
      <c r="E59" s="458" t="s">
        <v>533</v>
      </c>
      <c r="F59" s="459">
        <v>1</v>
      </c>
      <c r="G59" s="459"/>
    </row>
    <row r="60" spans="1:7" s="315" customFormat="1" ht="37.5" customHeight="1" x14ac:dyDescent="0.3">
      <c r="A60" s="1094"/>
      <c r="B60" s="1155"/>
      <c r="C60" s="1136"/>
      <c r="D60" s="456">
        <v>2</v>
      </c>
      <c r="E60" s="458" t="s">
        <v>470</v>
      </c>
      <c r="F60" s="459">
        <v>1</v>
      </c>
      <c r="G60" s="459">
        <v>1</v>
      </c>
    </row>
    <row r="61" spans="1:7" s="315" customFormat="1" ht="26.25" customHeight="1" x14ac:dyDescent="0.3">
      <c r="A61" s="1094"/>
      <c r="B61" s="1155"/>
      <c r="C61" s="1136"/>
      <c r="D61" s="456">
        <v>2</v>
      </c>
      <c r="E61" s="458" t="s">
        <v>494</v>
      </c>
      <c r="F61" s="459">
        <v>1</v>
      </c>
      <c r="G61" s="459">
        <v>1</v>
      </c>
    </row>
    <row r="62" spans="1:7" s="315" customFormat="1" ht="46.5" customHeight="1" x14ac:dyDescent="0.3">
      <c r="A62" s="1094"/>
      <c r="B62" s="1156"/>
      <c r="C62" s="1137"/>
      <c r="D62" s="456">
        <v>58</v>
      </c>
      <c r="E62" s="458" t="s">
        <v>541</v>
      </c>
      <c r="F62" s="459">
        <v>39</v>
      </c>
      <c r="G62" s="459">
        <v>19</v>
      </c>
    </row>
    <row r="63" spans="1:7" s="315" customFormat="1" ht="87.75" customHeight="1" x14ac:dyDescent="0.3">
      <c r="A63" s="1094"/>
      <c r="B63" s="450" t="s">
        <v>3</v>
      </c>
      <c r="C63" s="273" t="s">
        <v>542</v>
      </c>
      <c r="D63" s="456">
        <v>3</v>
      </c>
      <c r="E63" s="458" t="s">
        <v>497</v>
      </c>
      <c r="F63" s="459">
        <v>2</v>
      </c>
      <c r="G63" s="459">
        <v>1</v>
      </c>
    </row>
    <row r="64" spans="1:7" s="315" customFormat="1" ht="84" customHeight="1" x14ac:dyDescent="0.3">
      <c r="A64" s="1094"/>
      <c r="B64" s="381" t="s">
        <v>4</v>
      </c>
      <c r="C64" s="274" t="s">
        <v>543</v>
      </c>
      <c r="D64" s="456">
        <v>27</v>
      </c>
      <c r="E64" s="458" t="s">
        <v>544</v>
      </c>
      <c r="F64" s="459">
        <v>27</v>
      </c>
      <c r="G64" s="459"/>
    </row>
    <row r="65" spans="1:7" s="315" customFormat="1" ht="97.5" customHeight="1" x14ac:dyDescent="0.3">
      <c r="A65" s="1094"/>
      <c r="B65" s="381" t="s">
        <v>8</v>
      </c>
      <c r="C65" s="47" t="s">
        <v>395</v>
      </c>
      <c r="D65" s="456">
        <v>3</v>
      </c>
      <c r="E65" s="458" t="s">
        <v>545</v>
      </c>
      <c r="F65" s="459">
        <v>3</v>
      </c>
      <c r="G65" s="459"/>
    </row>
    <row r="66" spans="1:7" s="315" customFormat="1" ht="84.75" customHeight="1" x14ac:dyDescent="0.3">
      <c r="A66" s="1094"/>
      <c r="B66" s="381" t="s">
        <v>9</v>
      </c>
      <c r="C66" s="47" t="s">
        <v>230</v>
      </c>
      <c r="D66" s="456">
        <v>6</v>
      </c>
      <c r="E66" s="458" t="s">
        <v>498</v>
      </c>
      <c r="F66" s="459">
        <v>3</v>
      </c>
      <c r="G66" s="459">
        <v>3</v>
      </c>
    </row>
    <row r="67" spans="1:7" s="315" customFormat="1" ht="109.5" customHeight="1" x14ac:dyDescent="0.3">
      <c r="A67" s="1094"/>
      <c r="B67" s="381" t="s">
        <v>10</v>
      </c>
      <c r="C67" s="274" t="s">
        <v>396</v>
      </c>
      <c r="D67" s="456">
        <v>3</v>
      </c>
      <c r="E67" s="458" t="s">
        <v>546</v>
      </c>
      <c r="F67" s="459">
        <v>2</v>
      </c>
      <c r="G67" s="459">
        <v>1</v>
      </c>
    </row>
    <row r="68" spans="1:7" s="315" customFormat="1" ht="72" x14ac:dyDescent="0.3">
      <c r="A68" s="1094"/>
      <c r="B68" s="381" t="s">
        <v>67</v>
      </c>
      <c r="C68" s="274" t="s">
        <v>397</v>
      </c>
      <c r="D68" s="456">
        <v>3</v>
      </c>
      <c r="E68" s="458" t="s">
        <v>547</v>
      </c>
      <c r="F68" s="459">
        <v>2</v>
      </c>
      <c r="G68" s="459">
        <v>1</v>
      </c>
    </row>
    <row r="69" spans="1:7" s="315" customFormat="1" ht="67.5" customHeight="1" x14ac:dyDescent="0.3">
      <c r="A69" s="1094"/>
      <c r="B69" s="381" t="s">
        <v>68</v>
      </c>
      <c r="C69" s="274" t="s">
        <v>548</v>
      </c>
      <c r="D69" s="456">
        <v>3</v>
      </c>
      <c r="E69" s="458" t="s">
        <v>549</v>
      </c>
      <c r="F69" s="459">
        <v>3</v>
      </c>
      <c r="G69" s="459"/>
    </row>
    <row r="70" spans="1:7" s="315" customFormat="1" ht="47.25" customHeight="1" x14ac:dyDescent="0.3">
      <c r="A70" s="1094"/>
      <c r="B70" s="1152" t="s">
        <v>69</v>
      </c>
      <c r="C70" s="1132" t="s">
        <v>398</v>
      </c>
      <c r="D70" s="456">
        <v>3</v>
      </c>
      <c r="E70" s="458" t="s">
        <v>499</v>
      </c>
      <c r="F70" s="459">
        <v>3</v>
      </c>
      <c r="G70" s="459"/>
    </row>
    <row r="71" spans="1:7" s="315" customFormat="1" ht="51" customHeight="1" x14ac:dyDescent="0.3">
      <c r="A71" s="1094"/>
      <c r="B71" s="1153"/>
      <c r="C71" s="1134"/>
      <c r="D71" s="456">
        <v>2</v>
      </c>
      <c r="E71" s="458" t="s">
        <v>550</v>
      </c>
      <c r="F71" s="459">
        <v>1</v>
      </c>
      <c r="G71" s="459">
        <v>1</v>
      </c>
    </row>
    <row r="72" spans="1:7" s="67" customFormat="1" ht="38.25" customHeight="1" x14ac:dyDescent="0.3">
      <c r="A72" s="1085" t="s">
        <v>251</v>
      </c>
      <c r="B72" s="1086"/>
      <c r="C72" s="1086"/>
      <c r="D72" s="1086"/>
      <c r="E72" s="1086"/>
      <c r="F72" s="1086"/>
      <c r="G72" s="1087"/>
    </row>
    <row r="73" spans="1:7" ht="30" customHeight="1" x14ac:dyDescent="0.3">
      <c r="A73" s="1094" t="s">
        <v>354</v>
      </c>
      <c r="B73" s="40"/>
      <c r="C73" s="463"/>
      <c r="D73" s="442">
        <f>SUM(D74:D85)</f>
        <v>431</v>
      </c>
      <c r="E73" s="440" t="s">
        <v>461</v>
      </c>
      <c r="F73" s="442">
        <f>SUM(F74:F85)</f>
        <v>407</v>
      </c>
      <c r="G73" s="442">
        <f>SUM(G74:G85)</f>
        <v>24</v>
      </c>
    </row>
    <row r="74" spans="1:7" s="315" customFormat="1" ht="40.5" customHeight="1" x14ac:dyDescent="0.3">
      <c r="A74" s="1094"/>
      <c r="B74" s="1154" t="s">
        <v>2</v>
      </c>
      <c r="C74" s="1135" t="s">
        <v>244</v>
      </c>
      <c r="D74" s="456">
        <v>1</v>
      </c>
      <c r="E74" s="458" t="s">
        <v>500</v>
      </c>
      <c r="F74" s="459">
        <v>1</v>
      </c>
      <c r="G74" s="459"/>
    </row>
    <row r="75" spans="1:7" s="315" customFormat="1" ht="40.5" customHeight="1" x14ac:dyDescent="0.3">
      <c r="A75" s="1094"/>
      <c r="B75" s="1155"/>
      <c r="C75" s="1136"/>
      <c r="D75" s="456">
        <v>1</v>
      </c>
      <c r="E75" s="458" t="s">
        <v>533</v>
      </c>
      <c r="F75" s="459">
        <v>1</v>
      </c>
      <c r="G75" s="459"/>
    </row>
    <row r="76" spans="1:7" s="315" customFormat="1" ht="40.5" customHeight="1" x14ac:dyDescent="0.3">
      <c r="A76" s="1094"/>
      <c r="B76" s="1155"/>
      <c r="C76" s="1136"/>
      <c r="D76" s="456">
        <v>2</v>
      </c>
      <c r="E76" s="458" t="s">
        <v>470</v>
      </c>
      <c r="F76" s="459">
        <v>1</v>
      </c>
      <c r="G76" s="459">
        <v>1</v>
      </c>
    </row>
    <row r="77" spans="1:7" s="315" customFormat="1" ht="30.75" customHeight="1" x14ac:dyDescent="0.3">
      <c r="A77" s="1094"/>
      <c r="B77" s="1155"/>
      <c r="C77" s="1136"/>
      <c r="D77" s="456">
        <v>2</v>
      </c>
      <c r="E77" s="458" t="s">
        <v>494</v>
      </c>
      <c r="F77" s="459">
        <v>1</v>
      </c>
      <c r="G77" s="459">
        <v>1</v>
      </c>
    </row>
    <row r="78" spans="1:7" s="315" customFormat="1" ht="53.25" customHeight="1" x14ac:dyDescent="0.3">
      <c r="A78" s="1094"/>
      <c r="B78" s="1156"/>
      <c r="C78" s="1137"/>
      <c r="D78" s="456">
        <v>54</v>
      </c>
      <c r="E78" s="458" t="s">
        <v>551</v>
      </c>
      <c r="F78" s="459">
        <v>38</v>
      </c>
      <c r="G78" s="459">
        <v>16</v>
      </c>
    </row>
    <row r="79" spans="1:7" s="315" customFormat="1" ht="86.4" x14ac:dyDescent="0.3">
      <c r="A79" s="1094"/>
      <c r="B79" s="380" t="s">
        <v>3</v>
      </c>
      <c r="C79" s="273" t="s">
        <v>399</v>
      </c>
      <c r="D79" s="464">
        <v>6</v>
      </c>
      <c r="E79" s="458" t="s">
        <v>501</v>
      </c>
      <c r="F79" s="465">
        <v>3</v>
      </c>
      <c r="G79" s="465">
        <v>3</v>
      </c>
    </row>
    <row r="80" spans="1:7" s="315" customFormat="1" ht="48.75" customHeight="1" x14ac:dyDescent="0.3">
      <c r="A80" s="1094"/>
      <c r="B80" s="1157" t="s">
        <v>4</v>
      </c>
      <c r="C80" s="1135" t="s">
        <v>552</v>
      </c>
      <c r="D80" s="464">
        <v>2</v>
      </c>
      <c r="E80" s="458" t="s">
        <v>722</v>
      </c>
      <c r="F80" s="465">
        <v>1</v>
      </c>
      <c r="G80" s="465">
        <v>1</v>
      </c>
    </row>
    <row r="81" spans="1:7" s="315" customFormat="1" ht="28.8" x14ac:dyDescent="0.3">
      <c r="A81" s="1094"/>
      <c r="B81" s="1158"/>
      <c r="C81" s="1136"/>
      <c r="D81" s="464">
        <v>3</v>
      </c>
      <c r="E81" s="458" t="s">
        <v>720</v>
      </c>
      <c r="F81" s="465">
        <v>3</v>
      </c>
      <c r="G81" s="465"/>
    </row>
    <row r="82" spans="1:7" s="315" customFormat="1" ht="28.8" x14ac:dyDescent="0.3">
      <c r="A82" s="1094"/>
      <c r="B82" s="1158"/>
      <c r="C82" s="1136"/>
      <c r="D82" s="464">
        <v>310</v>
      </c>
      <c r="E82" s="458" t="s">
        <v>723</v>
      </c>
      <c r="F82" s="465">
        <v>310</v>
      </c>
      <c r="G82" s="465"/>
    </row>
    <row r="83" spans="1:7" s="315" customFormat="1" ht="33" customHeight="1" x14ac:dyDescent="0.3">
      <c r="A83" s="1094"/>
      <c r="B83" s="1159"/>
      <c r="C83" s="1137"/>
      <c r="D83" s="464">
        <v>44</v>
      </c>
      <c r="E83" s="458" t="s">
        <v>721</v>
      </c>
      <c r="F83" s="465">
        <v>44</v>
      </c>
      <c r="G83" s="465"/>
    </row>
    <row r="84" spans="1:7" s="315" customFormat="1" ht="57.6" x14ac:dyDescent="0.3">
      <c r="A84" s="1094"/>
      <c r="B84" s="381" t="s">
        <v>8</v>
      </c>
      <c r="C84" s="274" t="s">
        <v>243</v>
      </c>
      <c r="D84" s="464">
        <v>3</v>
      </c>
      <c r="E84" s="458" t="s">
        <v>553</v>
      </c>
      <c r="F84" s="465">
        <v>2</v>
      </c>
      <c r="G84" s="465">
        <v>1</v>
      </c>
    </row>
    <row r="85" spans="1:7" s="315" customFormat="1" ht="88.95" customHeight="1" x14ac:dyDescent="0.3">
      <c r="A85" s="1094"/>
      <c r="B85" s="381" t="s">
        <v>9</v>
      </c>
      <c r="C85" s="274" t="s">
        <v>245</v>
      </c>
      <c r="D85" s="464">
        <v>3</v>
      </c>
      <c r="E85" s="458" t="s">
        <v>502</v>
      </c>
      <c r="F85" s="465">
        <v>2</v>
      </c>
      <c r="G85" s="465">
        <v>1</v>
      </c>
    </row>
    <row r="86" spans="1:7" s="67" customFormat="1" ht="40.5" customHeight="1" x14ac:dyDescent="0.3">
      <c r="A86" s="1142" t="s">
        <v>248</v>
      </c>
      <c r="B86" s="1142"/>
      <c r="C86" s="1142"/>
      <c r="D86" s="1142"/>
      <c r="E86" s="1142"/>
      <c r="F86" s="1142"/>
      <c r="G86" s="1142"/>
    </row>
    <row r="87" spans="1:7" s="67" customFormat="1" ht="45.75" customHeight="1" x14ac:dyDescent="0.3">
      <c r="A87" s="1085" t="s">
        <v>249</v>
      </c>
      <c r="B87" s="1086"/>
      <c r="C87" s="1086"/>
      <c r="D87" s="1086"/>
      <c r="E87" s="1086"/>
      <c r="F87" s="1086"/>
      <c r="G87" s="1087"/>
    </row>
    <row r="88" spans="1:7" ht="35.25" customHeight="1" x14ac:dyDescent="0.3">
      <c r="A88" s="1131" t="s">
        <v>272</v>
      </c>
      <c r="B88" s="40"/>
      <c r="C88" s="463"/>
      <c r="D88" s="442">
        <f>+D89</f>
        <v>4</v>
      </c>
      <c r="E88" s="440" t="s">
        <v>461</v>
      </c>
      <c r="F88" s="442">
        <f>+F89</f>
        <v>2</v>
      </c>
      <c r="G88" s="442">
        <f>+G89</f>
        <v>2</v>
      </c>
    </row>
    <row r="89" spans="1:7" s="315" customFormat="1" ht="84" customHeight="1" x14ac:dyDescent="0.3">
      <c r="A89" s="1131"/>
      <c r="B89" s="380" t="s">
        <v>2</v>
      </c>
      <c r="C89" s="274" t="s">
        <v>273</v>
      </c>
      <c r="D89" s="456">
        <v>4</v>
      </c>
      <c r="E89" s="458" t="s">
        <v>554</v>
      </c>
      <c r="F89" s="461">
        <v>2</v>
      </c>
      <c r="G89" s="461">
        <v>2</v>
      </c>
    </row>
    <row r="90" spans="1:7" s="67" customFormat="1" ht="33" customHeight="1" x14ac:dyDescent="0.3">
      <c r="A90" s="1114" t="s">
        <v>97</v>
      </c>
      <c r="B90" s="40"/>
      <c r="C90" s="467"/>
      <c r="D90" s="442">
        <f>SUM(D91:D93)</f>
        <v>5</v>
      </c>
      <c r="E90" s="440" t="s">
        <v>461</v>
      </c>
      <c r="F90" s="442">
        <f>SUM(F91:F93)</f>
        <v>5</v>
      </c>
      <c r="G90" s="442">
        <f>+G91+G92+G93</f>
        <v>0</v>
      </c>
    </row>
    <row r="91" spans="1:7" s="315" customFormat="1" ht="69" customHeight="1" x14ac:dyDescent="0.3">
      <c r="A91" s="1116"/>
      <c r="B91" s="380" t="s">
        <v>2</v>
      </c>
      <c r="C91" s="274" t="s">
        <v>268</v>
      </c>
      <c r="D91" s="456"/>
      <c r="E91" s="458" t="s">
        <v>505</v>
      </c>
      <c r="F91" s="459"/>
      <c r="G91" s="459"/>
    </row>
    <row r="92" spans="1:7" s="315" customFormat="1" ht="99.75" customHeight="1" x14ac:dyDescent="0.3">
      <c r="A92" s="1116"/>
      <c r="B92" s="381" t="s">
        <v>3</v>
      </c>
      <c r="C92" s="273" t="s">
        <v>267</v>
      </c>
      <c r="D92" s="456">
        <v>5</v>
      </c>
      <c r="E92" s="458" t="s">
        <v>503</v>
      </c>
      <c r="F92" s="459">
        <v>5</v>
      </c>
      <c r="G92" s="459"/>
    </row>
    <row r="93" spans="1:7" s="315" customFormat="1" ht="105" customHeight="1" x14ac:dyDescent="0.3">
      <c r="A93" s="1116"/>
      <c r="B93" s="381" t="s">
        <v>4</v>
      </c>
      <c r="C93" s="273" t="s">
        <v>271</v>
      </c>
      <c r="D93" s="456"/>
      <c r="E93" s="458" t="s">
        <v>504</v>
      </c>
      <c r="F93" s="459"/>
      <c r="G93" s="459"/>
    </row>
    <row r="94" spans="1:7" s="315" customFormat="1" ht="59.25" customHeight="1" x14ac:dyDescent="0.3">
      <c r="A94" s="1115"/>
      <c r="B94" s="644" t="s">
        <v>8</v>
      </c>
      <c r="C94" s="273" t="s">
        <v>718</v>
      </c>
      <c r="D94" s="456">
        <v>3</v>
      </c>
      <c r="E94" s="458" t="s">
        <v>719</v>
      </c>
      <c r="F94" s="459">
        <v>2</v>
      </c>
      <c r="G94" s="459">
        <v>1</v>
      </c>
    </row>
    <row r="95" spans="1:7" ht="42.75" customHeight="1" x14ac:dyDescent="0.3">
      <c r="A95" s="1094" t="s">
        <v>99</v>
      </c>
      <c r="B95" s="40"/>
      <c r="C95" s="463"/>
      <c r="D95" s="442">
        <f>SUM(D96:D98)</f>
        <v>3</v>
      </c>
      <c r="E95" s="440" t="s">
        <v>461</v>
      </c>
      <c r="F95" s="442">
        <f>SUM(F96:F98)</f>
        <v>3</v>
      </c>
      <c r="G95" s="442">
        <f>+G96+G97+G98</f>
        <v>0</v>
      </c>
    </row>
    <row r="96" spans="1:7" s="315" customFormat="1" ht="48.75" customHeight="1" x14ac:dyDescent="0.3">
      <c r="A96" s="1094"/>
      <c r="B96" s="450" t="s">
        <v>2</v>
      </c>
      <c r="C96" s="273" t="s">
        <v>487</v>
      </c>
      <c r="D96" s="456">
        <v>1</v>
      </c>
      <c r="E96" s="458" t="s">
        <v>484</v>
      </c>
      <c r="F96" s="459">
        <v>1</v>
      </c>
      <c r="G96" s="459"/>
    </row>
    <row r="97" spans="1:7" s="315" customFormat="1" ht="54" customHeight="1" x14ac:dyDescent="0.3">
      <c r="A97" s="1094"/>
      <c r="B97" s="381" t="s">
        <v>3</v>
      </c>
      <c r="C97" s="273" t="s">
        <v>488</v>
      </c>
      <c r="D97" s="456">
        <v>1</v>
      </c>
      <c r="E97" s="458" t="s">
        <v>485</v>
      </c>
      <c r="F97" s="459">
        <v>1</v>
      </c>
      <c r="G97" s="459"/>
    </row>
    <row r="98" spans="1:7" s="315" customFormat="1" ht="59.25" customHeight="1" x14ac:dyDescent="0.3">
      <c r="A98" s="1094"/>
      <c r="B98" s="381" t="s">
        <v>4</v>
      </c>
      <c r="C98" s="273" t="s">
        <v>489</v>
      </c>
      <c r="D98" s="456">
        <v>1</v>
      </c>
      <c r="E98" s="458" t="s">
        <v>486</v>
      </c>
      <c r="F98" s="459">
        <v>1</v>
      </c>
      <c r="G98" s="459"/>
    </row>
    <row r="99" spans="1:7" s="67" customFormat="1" ht="38.25" customHeight="1" x14ac:dyDescent="0.3">
      <c r="A99" s="1085" t="s">
        <v>250</v>
      </c>
      <c r="B99" s="1086"/>
      <c r="C99" s="1086"/>
      <c r="D99" s="1086"/>
      <c r="E99" s="1086"/>
      <c r="F99" s="1086"/>
      <c r="G99" s="1087"/>
    </row>
    <row r="100" spans="1:7" ht="42.75" customHeight="1" x14ac:dyDescent="0.3">
      <c r="A100" s="1094" t="s">
        <v>100</v>
      </c>
      <c r="B100" s="40"/>
      <c r="C100" s="463"/>
      <c r="D100" s="442">
        <f>SUM(D101:D103)</f>
        <v>5</v>
      </c>
      <c r="E100" s="440" t="s">
        <v>461</v>
      </c>
      <c r="F100" s="442">
        <f>SUM(F101:F103)</f>
        <v>5</v>
      </c>
      <c r="G100" s="442">
        <f>+G101+G102+G103</f>
        <v>0</v>
      </c>
    </row>
    <row r="101" spans="1:7" s="315" customFormat="1" ht="57.6" x14ac:dyDescent="0.3">
      <c r="A101" s="1094"/>
      <c r="B101" s="380" t="s">
        <v>2</v>
      </c>
      <c r="C101" s="274" t="s">
        <v>264</v>
      </c>
      <c r="D101" s="464">
        <v>1</v>
      </c>
      <c r="E101" s="458" t="s">
        <v>491</v>
      </c>
      <c r="F101" s="459">
        <v>1</v>
      </c>
      <c r="G101" s="459"/>
    </row>
    <row r="102" spans="1:7" s="315" customFormat="1" ht="72" x14ac:dyDescent="0.3">
      <c r="A102" s="1094"/>
      <c r="B102" s="362" t="s">
        <v>3</v>
      </c>
      <c r="C102" s="273" t="s">
        <v>263</v>
      </c>
      <c r="D102" s="464">
        <v>3</v>
      </c>
      <c r="E102" s="458" t="s">
        <v>490</v>
      </c>
      <c r="F102" s="459">
        <v>3</v>
      </c>
      <c r="G102" s="459"/>
    </row>
    <row r="103" spans="1:7" s="315" customFormat="1" ht="57.6" x14ac:dyDescent="0.3">
      <c r="A103" s="1094"/>
      <c r="B103" s="362" t="s">
        <v>4</v>
      </c>
      <c r="C103" s="273" t="s">
        <v>265</v>
      </c>
      <c r="D103" s="464">
        <v>1</v>
      </c>
      <c r="E103" s="458" t="s">
        <v>492</v>
      </c>
      <c r="F103" s="459">
        <v>1</v>
      </c>
      <c r="G103" s="459"/>
    </row>
    <row r="104" spans="1:7" s="89" customFormat="1" ht="51.75" customHeight="1" x14ac:dyDescent="0.3">
      <c r="A104" s="1090" t="s">
        <v>101</v>
      </c>
      <c r="B104" s="1091"/>
      <c r="C104" s="1091"/>
      <c r="D104" s="1091"/>
      <c r="E104" s="1091"/>
      <c r="F104" s="1091"/>
      <c r="G104" s="1092"/>
    </row>
    <row r="105" spans="1:7" ht="34.5" customHeight="1" x14ac:dyDescent="0.3">
      <c r="A105" s="451" t="s">
        <v>102</v>
      </c>
      <c r="B105" s="452"/>
      <c r="C105" s="452"/>
      <c r="D105" s="453"/>
      <c r="E105" s="377"/>
      <c r="F105" s="453"/>
      <c r="G105" s="447"/>
    </row>
    <row r="106" spans="1:7" ht="37.5" customHeight="1" x14ac:dyDescent="0.3">
      <c r="A106" s="1085" t="s">
        <v>103</v>
      </c>
      <c r="B106" s="1086"/>
      <c r="C106" s="1086"/>
      <c r="D106" s="1086"/>
      <c r="E106" s="1086"/>
      <c r="F106" s="1086"/>
      <c r="G106" s="1087"/>
    </row>
    <row r="107" spans="1:7" ht="32.25" customHeight="1" x14ac:dyDescent="0.3">
      <c r="A107" s="1131" t="s">
        <v>104</v>
      </c>
      <c r="B107" s="40"/>
      <c r="C107" s="108"/>
      <c r="D107" s="442">
        <f>SUM(D108:D124)</f>
        <v>163</v>
      </c>
      <c r="E107" s="440" t="s">
        <v>461</v>
      </c>
      <c r="F107" s="442">
        <f>+F108+F121+F122+F123+F124</f>
        <v>12</v>
      </c>
      <c r="G107" s="442">
        <f>+G108+G121+G122+G123+G124</f>
        <v>10</v>
      </c>
    </row>
    <row r="108" spans="1:7" s="334" customFormat="1" ht="28.5" customHeight="1" x14ac:dyDescent="0.3">
      <c r="A108" s="1131"/>
      <c r="B108" s="1157" t="s">
        <v>2</v>
      </c>
      <c r="C108" s="1132" t="s">
        <v>285</v>
      </c>
      <c r="D108" s="456">
        <v>10</v>
      </c>
      <c r="E108" s="458" t="s">
        <v>514</v>
      </c>
      <c r="F108" s="459">
        <v>5</v>
      </c>
      <c r="G108" s="459">
        <v>5</v>
      </c>
    </row>
    <row r="109" spans="1:7" s="334" customFormat="1" ht="21" customHeight="1" x14ac:dyDescent="0.3">
      <c r="A109" s="1131"/>
      <c r="B109" s="1158"/>
      <c r="C109" s="1133"/>
      <c r="D109" s="456">
        <v>16</v>
      </c>
      <c r="E109" s="458" t="s">
        <v>515</v>
      </c>
      <c r="F109" s="459">
        <v>8</v>
      </c>
      <c r="G109" s="459">
        <v>8</v>
      </c>
    </row>
    <row r="110" spans="1:7" s="334" customFormat="1" ht="21" customHeight="1" x14ac:dyDescent="0.3">
      <c r="A110" s="1131"/>
      <c r="B110" s="1158"/>
      <c r="C110" s="1133"/>
      <c r="D110" s="456">
        <v>8</v>
      </c>
      <c r="E110" s="458" t="s">
        <v>516</v>
      </c>
      <c r="F110" s="459">
        <v>4</v>
      </c>
      <c r="G110" s="459">
        <v>4</v>
      </c>
    </row>
    <row r="111" spans="1:7" s="334" customFormat="1" ht="43.2" x14ac:dyDescent="0.3">
      <c r="A111" s="1131"/>
      <c r="B111" s="1158"/>
      <c r="C111" s="1133"/>
      <c r="D111" s="456">
        <v>4</v>
      </c>
      <c r="E111" s="458" t="s">
        <v>506</v>
      </c>
      <c r="F111" s="459">
        <v>2</v>
      </c>
      <c r="G111" s="459">
        <v>2</v>
      </c>
    </row>
    <row r="112" spans="1:7" s="334" customFormat="1" ht="15" customHeight="1" x14ac:dyDescent="0.3">
      <c r="A112" s="1131"/>
      <c r="B112" s="1158"/>
      <c r="C112" s="1133"/>
      <c r="D112" s="456">
        <v>1</v>
      </c>
      <c r="E112" s="458" t="s">
        <v>507</v>
      </c>
      <c r="F112" s="459">
        <v>1</v>
      </c>
      <c r="G112" s="459"/>
    </row>
    <row r="113" spans="1:7" s="334" customFormat="1" ht="33.75" customHeight="1" x14ac:dyDescent="0.3">
      <c r="A113" s="1131"/>
      <c r="B113" s="1158"/>
      <c r="C113" s="1133"/>
      <c r="D113" s="456">
        <v>68</v>
      </c>
      <c r="E113" s="458" t="s">
        <v>508</v>
      </c>
      <c r="F113" s="459">
        <v>34</v>
      </c>
      <c r="G113" s="459">
        <v>34</v>
      </c>
    </row>
    <row r="114" spans="1:7" s="334" customFormat="1" ht="43.2" x14ac:dyDescent="0.3">
      <c r="A114" s="1131"/>
      <c r="B114" s="1158"/>
      <c r="C114" s="1133"/>
      <c r="D114" s="456">
        <v>3</v>
      </c>
      <c r="E114" s="458" t="s">
        <v>518</v>
      </c>
      <c r="F114" s="459">
        <v>3</v>
      </c>
      <c r="G114" s="459"/>
    </row>
    <row r="115" spans="1:7" s="334" customFormat="1" ht="43.2" x14ac:dyDescent="0.3">
      <c r="A115" s="1131"/>
      <c r="B115" s="1158"/>
      <c r="C115" s="1133"/>
      <c r="D115" s="456">
        <v>3</v>
      </c>
      <c r="E115" s="458" t="s">
        <v>517</v>
      </c>
      <c r="F115" s="459">
        <v>3</v>
      </c>
      <c r="G115" s="459"/>
    </row>
    <row r="116" spans="1:7" s="334" customFormat="1" ht="28.8" x14ac:dyDescent="0.3">
      <c r="A116" s="1131"/>
      <c r="B116" s="1158"/>
      <c r="C116" s="1133"/>
      <c r="D116" s="456">
        <v>1</v>
      </c>
      <c r="E116" s="458" t="s">
        <v>509</v>
      </c>
      <c r="F116" s="459">
        <v>1</v>
      </c>
      <c r="G116" s="459"/>
    </row>
    <row r="117" spans="1:7" s="334" customFormat="1" ht="28.8" x14ac:dyDescent="0.3">
      <c r="A117" s="1131"/>
      <c r="B117" s="1158"/>
      <c r="C117" s="1133"/>
      <c r="D117" s="456">
        <v>1</v>
      </c>
      <c r="E117" s="458" t="s">
        <v>510</v>
      </c>
      <c r="F117" s="459">
        <v>1</v>
      </c>
      <c r="G117" s="459"/>
    </row>
    <row r="118" spans="1:7" s="334" customFormat="1" ht="28.8" x14ac:dyDescent="0.3">
      <c r="A118" s="1131"/>
      <c r="B118" s="1158"/>
      <c r="C118" s="1133"/>
      <c r="D118" s="456">
        <v>34</v>
      </c>
      <c r="E118" s="458" t="s">
        <v>511</v>
      </c>
      <c r="F118" s="459">
        <v>17</v>
      </c>
      <c r="G118" s="459">
        <v>17</v>
      </c>
    </row>
    <row r="119" spans="1:7" s="334" customFormat="1" ht="28.8" x14ac:dyDescent="0.3">
      <c r="A119" s="1131"/>
      <c r="B119" s="1158"/>
      <c r="C119" s="1133"/>
      <c r="D119" s="456">
        <v>2</v>
      </c>
      <c r="E119" s="458" t="s">
        <v>512</v>
      </c>
      <c r="F119" s="459">
        <v>1</v>
      </c>
      <c r="G119" s="459">
        <v>1</v>
      </c>
    </row>
    <row r="120" spans="1:7" s="334" customFormat="1" ht="28.8" x14ac:dyDescent="0.3">
      <c r="A120" s="1131"/>
      <c r="B120" s="1159"/>
      <c r="C120" s="1134"/>
      <c r="D120" s="456">
        <v>1</v>
      </c>
      <c r="E120" s="458" t="s">
        <v>513</v>
      </c>
      <c r="F120" s="459"/>
      <c r="G120" s="459">
        <v>1</v>
      </c>
    </row>
    <row r="121" spans="1:7" s="334" customFormat="1" ht="57.6" x14ac:dyDescent="0.3">
      <c r="A121" s="1131"/>
      <c r="B121" s="311" t="s">
        <v>3</v>
      </c>
      <c r="C121" s="274" t="s">
        <v>289</v>
      </c>
      <c r="D121" s="456">
        <v>1</v>
      </c>
      <c r="E121" s="458" t="s">
        <v>519</v>
      </c>
      <c r="F121" s="459">
        <v>1</v>
      </c>
      <c r="G121" s="459"/>
    </row>
    <row r="122" spans="1:7" s="334" customFormat="1" ht="58.5" customHeight="1" x14ac:dyDescent="0.3">
      <c r="A122" s="1131"/>
      <c r="B122" s="311" t="s">
        <v>4</v>
      </c>
      <c r="C122" s="274" t="s">
        <v>555</v>
      </c>
      <c r="D122" s="456">
        <v>3</v>
      </c>
      <c r="E122" s="458" t="s">
        <v>520</v>
      </c>
      <c r="F122" s="459">
        <v>2</v>
      </c>
      <c r="G122" s="459">
        <v>2</v>
      </c>
    </row>
    <row r="123" spans="1:7" s="334" customFormat="1" ht="86.25" customHeight="1" x14ac:dyDescent="0.3">
      <c r="A123" s="1131"/>
      <c r="B123" s="311" t="s">
        <v>8</v>
      </c>
      <c r="C123" s="274" t="s">
        <v>294</v>
      </c>
      <c r="D123" s="456">
        <v>3</v>
      </c>
      <c r="E123" s="458" t="s">
        <v>556</v>
      </c>
      <c r="F123" s="459">
        <v>2</v>
      </c>
      <c r="G123" s="459">
        <v>1</v>
      </c>
    </row>
    <row r="124" spans="1:7" s="334" customFormat="1" ht="95.25" customHeight="1" x14ac:dyDescent="0.3">
      <c r="A124" s="1131"/>
      <c r="B124" s="454" t="s">
        <v>9</v>
      </c>
      <c r="C124" s="455" t="s">
        <v>319</v>
      </c>
      <c r="D124" s="456">
        <v>4</v>
      </c>
      <c r="E124" s="458" t="s">
        <v>521</v>
      </c>
      <c r="F124" s="459">
        <v>2</v>
      </c>
      <c r="G124" s="459">
        <v>2</v>
      </c>
    </row>
    <row r="125" spans="1:7" s="67" customFormat="1" ht="44.25" customHeight="1" x14ac:dyDescent="0.3">
      <c r="A125" s="1085" t="s">
        <v>293</v>
      </c>
      <c r="B125" s="1086"/>
      <c r="C125" s="1086"/>
      <c r="D125" s="1086"/>
      <c r="E125" s="1086"/>
      <c r="F125" s="1086"/>
      <c r="G125" s="1087"/>
    </row>
    <row r="126" spans="1:7" ht="39" customHeight="1" x14ac:dyDescent="0.3">
      <c r="A126" s="1094" t="s">
        <v>105</v>
      </c>
      <c r="B126" s="40"/>
      <c r="C126" s="108"/>
      <c r="D126" s="442">
        <f>SUM(D127:D130)</f>
        <v>24</v>
      </c>
      <c r="E126" s="440" t="s">
        <v>461</v>
      </c>
      <c r="F126" s="442">
        <f>SUM(F127:F130)</f>
        <v>14</v>
      </c>
      <c r="G126" s="442">
        <f>+G127+G128+G129+G130</f>
        <v>10</v>
      </c>
    </row>
    <row r="127" spans="1:7" s="333" customFormat="1" ht="78.75" customHeight="1" x14ac:dyDescent="0.3">
      <c r="A127" s="1094"/>
      <c r="B127" s="311" t="s">
        <v>2</v>
      </c>
      <c r="C127" s="273" t="s">
        <v>314</v>
      </c>
      <c r="D127" s="456">
        <v>12</v>
      </c>
      <c r="E127" s="458" t="s">
        <v>522</v>
      </c>
      <c r="F127" s="459">
        <v>6</v>
      </c>
      <c r="G127" s="459">
        <v>6</v>
      </c>
    </row>
    <row r="128" spans="1:7" s="333" customFormat="1" ht="117" customHeight="1" x14ac:dyDescent="0.3">
      <c r="A128" s="1094"/>
      <c r="B128" s="311" t="s">
        <v>3</v>
      </c>
      <c r="C128" s="273" t="s">
        <v>296</v>
      </c>
      <c r="D128" s="456">
        <v>8</v>
      </c>
      <c r="E128" s="458" t="s">
        <v>523</v>
      </c>
      <c r="F128" s="459">
        <v>4</v>
      </c>
      <c r="G128" s="459">
        <v>4</v>
      </c>
    </row>
    <row r="129" spans="1:7" s="333" customFormat="1" ht="68.25" customHeight="1" x14ac:dyDescent="0.3">
      <c r="A129" s="1094"/>
      <c r="B129" s="311" t="s">
        <v>4</v>
      </c>
      <c r="C129" s="273" t="s">
        <v>587</v>
      </c>
      <c r="D129" s="456">
        <v>3</v>
      </c>
      <c r="E129" s="458" t="s">
        <v>524</v>
      </c>
      <c r="F129" s="459">
        <v>3</v>
      </c>
      <c r="G129" s="459"/>
    </row>
    <row r="130" spans="1:7" s="333" customFormat="1" ht="99" customHeight="1" x14ac:dyDescent="0.3">
      <c r="A130" s="1094"/>
      <c r="B130" s="311" t="s">
        <v>8</v>
      </c>
      <c r="C130" s="273" t="s">
        <v>306</v>
      </c>
      <c r="D130" s="456">
        <v>1</v>
      </c>
      <c r="E130" s="458" t="s">
        <v>525</v>
      </c>
      <c r="F130" s="459">
        <v>1</v>
      </c>
      <c r="G130" s="459"/>
    </row>
    <row r="131" spans="1:7" ht="29.25" customHeight="1" x14ac:dyDescent="0.3">
      <c r="A131" s="1142" t="s">
        <v>106</v>
      </c>
      <c r="B131" s="1142"/>
      <c r="C131" s="1142"/>
      <c r="D131" s="1142"/>
      <c r="E131" s="1142"/>
      <c r="F131" s="1142"/>
      <c r="G131" s="1142"/>
    </row>
    <row r="132" spans="1:7" ht="33" customHeight="1" x14ac:dyDescent="0.3">
      <c r="A132" s="1085" t="s">
        <v>107</v>
      </c>
      <c r="B132" s="1086"/>
      <c r="C132" s="1086"/>
      <c r="D132" s="1086"/>
      <c r="E132" s="1086"/>
      <c r="F132" s="1086"/>
      <c r="G132" s="1087"/>
    </row>
    <row r="133" spans="1:7" ht="42.75" customHeight="1" x14ac:dyDescent="0.3">
      <c r="A133" s="1094" t="s">
        <v>108</v>
      </c>
      <c r="B133" s="40"/>
      <c r="C133" s="108"/>
      <c r="D133" s="442">
        <f>SUM(D134:D135)</f>
        <v>6</v>
      </c>
      <c r="E133" s="440" t="s">
        <v>461</v>
      </c>
      <c r="F133" s="442">
        <f>SUM(F134:F135)</f>
        <v>6</v>
      </c>
      <c r="G133" s="442">
        <f>SUM(G134:G135)</f>
        <v>0</v>
      </c>
    </row>
    <row r="134" spans="1:7" s="333" customFormat="1" ht="109.2" customHeight="1" x14ac:dyDescent="0.3">
      <c r="A134" s="1094"/>
      <c r="B134" s="311" t="s">
        <v>2</v>
      </c>
      <c r="C134" s="274" t="s">
        <v>355</v>
      </c>
      <c r="D134" s="456">
        <v>3</v>
      </c>
      <c r="E134" s="466" t="s">
        <v>526</v>
      </c>
      <c r="F134" s="459">
        <v>3</v>
      </c>
      <c r="G134" s="459"/>
    </row>
    <row r="135" spans="1:7" s="333" customFormat="1" ht="123.6" customHeight="1" x14ac:dyDescent="0.3">
      <c r="A135" s="1094"/>
      <c r="B135" s="311" t="s">
        <v>3</v>
      </c>
      <c r="C135" s="274" t="s">
        <v>356</v>
      </c>
      <c r="D135" s="456">
        <v>3</v>
      </c>
      <c r="E135" s="466" t="s">
        <v>527</v>
      </c>
      <c r="F135" s="459">
        <v>3</v>
      </c>
      <c r="G135" s="459"/>
    </row>
    <row r="136" spans="1:7" ht="46.5" customHeight="1" x14ac:dyDescent="0.3">
      <c r="A136" s="1094" t="s">
        <v>284</v>
      </c>
      <c r="B136" s="40"/>
      <c r="C136" s="108"/>
      <c r="D136" s="442">
        <f>SUM(D137:D139)</f>
        <v>9</v>
      </c>
      <c r="E136" s="440" t="s">
        <v>461</v>
      </c>
      <c r="F136" s="442">
        <f>+F137+F138+F139</f>
        <v>5</v>
      </c>
      <c r="G136" s="442">
        <f>+G137+G138+G139</f>
        <v>4</v>
      </c>
    </row>
    <row r="137" spans="1:7" s="333" customFormat="1" ht="129.75" customHeight="1" x14ac:dyDescent="0.3">
      <c r="A137" s="1094"/>
      <c r="B137" s="311" t="s">
        <v>2</v>
      </c>
      <c r="C137" s="274" t="s">
        <v>308</v>
      </c>
      <c r="D137" s="456">
        <v>4</v>
      </c>
      <c r="E137" s="458" t="s">
        <v>528</v>
      </c>
      <c r="F137" s="459">
        <v>2</v>
      </c>
      <c r="G137" s="459">
        <v>2</v>
      </c>
    </row>
    <row r="138" spans="1:7" s="334" customFormat="1" ht="80.25" customHeight="1" x14ac:dyDescent="0.3">
      <c r="A138" s="1094"/>
      <c r="B138" s="311" t="s">
        <v>3</v>
      </c>
      <c r="C138" s="273" t="s">
        <v>557</v>
      </c>
      <c r="D138" s="456">
        <v>4</v>
      </c>
      <c r="E138" s="458" t="s">
        <v>530</v>
      </c>
      <c r="F138" s="459">
        <v>2</v>
      </c>
      <c r="G138" s="459">
        <v>2</v>
      </c>
    </row>
    <row r="139" spans="1:7" s="334" customFormat="1" ht="82.5" customHeight="1" x14ac:dyDescent="0.3">
      <c r="A139" s="1094"/>
      <c r="B139" s="311" t="s">
        <v>4</v>
      </c>
      <c r="C139" s="273" t="s">
        <v>317</v>
      </c>
      <c r="D139" s="456">
        <v>1</v>
      </c>
      <c r="E139" s="458" t="s">
        <v>529</v>
      </c>
      <c r="F139" s="459">
        <v>1</v>
      </c>
      <c r="G139" s="459"/>
    </row>
    <row r="140" spans="1:7" ht="42.75" customHeight="1" x14ac:dyDescent="0.3">
      <c r="A140" s="1094" t="s">
        <v>322</v>
      </c>
      <c r="B140" s="40"/>
      <c r="C140" s="108"/>
      <c r="D140" s="442">
        <f>SUM(D141:D142)</f>
        <v>18</v>
      </c>
      <c r="E140" s="440" t="s">
        <v>461</v>
      </c>
      <c r="F140" s="442">
        <f>SUM(F141:F142)</f>
        <v>8</v>
      </c>
      <c r="G140" s="442">
        <f>SUM(G141:G142)</f>
        <v>10</v>
      </c>
    </row>
    <row r="141" spans="1:7" s="333" customFormat="1" ht="57.75" customHeight="1" x14ac:dyDescent="0.3">
      <c r="A141" s="1094"/>
      <c r="B141" s="311" t="s">
        <v>2</v>
      </c>
      <c r="C141" s="274" t="s">
        <v>323</v>
      </c>
      <c r="D141" s="456">
        <v>18</v>
      </c>
      <c r="E141" s="458" t="s">
        <v>558</v>
      </c>
      <c r="F141" s="459">
        <v>8</v>
      </c>
      <c r="G141" s="459">
        <v>10</v>
      </c>
    </row>
    <row r="142" spans="1:7" s="313" customFormat="1" ht="78.75" customHeight="1" x14ac:dyDescent="0.3">
      <c r="A142" s="1094"/>
      <c r="B142" s="311" t="s">
        <v>3</v>
      </c>
      <c r="C142" s="46" t="s">
        <v>559</v>
      </c>
      <c r="D142" s="456"/>
      <c r="E142" s="458" t="s">
        <v>531</v>
      </c>
      <c r="F142" s="459"/>
      <c r="G142" s="461"/>
    </row>
  </sheetData>
  <mergeCells count="63">
    <mergeCell ref="C80:C83"/>
    <mergeCell ref="C44:C45"/>
    <mergeCell ref="B58:B62"/>
    <mergeCell ref="C58:C62"/>
    <mergeCell ref="A106:G106"/>
    <mergeCell ref="A104:G104"/>
    <mergeCell ref="A57:A71"/>
    <mergeCell ref="A73:A85"/>
    <mergeCell ref="A88:A89"/>
    <mergeCell ref="A95:A98"/>
    <mergeCell ref="A100:A103"/>
    <mergeCell ref="A99:G99"/>
    <mergeCell ref="A48:A50"/>
    <mergeCell ref="A51:A53"/>
    <mergeCell ref="A90:A94"/>
    <mergeCell ref="B80:B83"/>
    <mergeCell ref="A31:G31"/>
    <mergeCell ref="A55:G55"/>
    <mergeCell ref="A86:G86"/>
    <mergeCell ref="A131:G131"/>
    <mergeCell ref="A87:G87"/>
    <mergeCell ref="B70:B71"/>
    <mergeCell ref="C70:C71"/>
    <mergeCell ref="B74:B78"/>
    <mergeCell ref="C74:C78"/>
    <mergeCell ref="A32:G32"/>
    <mergeCell ref="A47:G47"/>
    <mergeCell ref="A56:G56"/>
    <mergeCell ref="A72:G72"/>
    <mergeCell ref="A54:G54"/>
    <mergeCell ref="B39:B41"/>
    <mergeCell ref="B108:B120"/>
    <mergeCell ref="A4:E4"/>
    <mergeCell ref="F4:G4"/>
    <mergeCell ref="B26:B29"/>
    <mergeCell ref="C26:C29"/>
    <mergeCell ref="B10:B13"/>
    <mergeCell ref="A24:G24"/>
    <mergeCell ref="A23:G23"/>
    <mergeCell ref="C39:C41"/>
    <mergeCell ref="B44:B45"/>
    <mergeCell ref="B17:B19"/>
    <mergeCell ref="C17:C19"/>
    <mergeCell ref="A3:G3"/>
    <mergeCell ref="A7:G7"/>
    <mergeCell ref="A6:G6"/>
    <mergeCell ref="A8:G8"/>
    <mergeCell ref="A15:G15"/>
    <mergeCell ref="C10:C13"/>
    <mergeCell ref="A33:A37"/>
    <mergeCell ref="A38:A42"/>
    <mergeCell ref="A43:A46"/>
    <mergeCell ref="A9:A14"/>
    <mergeCell ref="A16:A22"/>
    <mergeCell ref="A25:A30"/>
    <mergeCell ref="A107:A124"/>
    <mergeCell ref="A126:A130"/>
    <mergeCell ref="A133:A135"/>
    <mergeCell ref="A136:A139"/>
    <mergeCell ref="A140:A142"/>
    <mergeCell ref="A125:G125"/>
    <mergeCell ref="A132:G132"/>
    <mergeCell ref="C108:C120"/>
  </mergeCells>
  <phoneticPr fontId="2" type="noConversion"/>
  <printOptions horizontalCentered="1"/>
  <pageMargins left="0.39370078740157483" right="7.874015748031496E-2" top="0.74803149606299213" bottom="0.74803149606299213" header="0.31496062992125984" footer="0.31496062992125984"/>
  <pageSetup paperSize="9" scale="80" orientation="landscape" horizontalDpi="0" verticalDpi="0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G114"/>
  <sheetViews>
    <sheetView zoomScale="80" zoomScaleNormal="80" workbookViewId="0">
      <pane xSplit="6" ySplit="7" topLeftCell="G68" activePane="bottomRight" state="frozen"/>
      <selection pane="topRight" activeCell="G1" sqref="G1"/>
      <selection pane="bottomLeft" activeCell="A8" sqref="A8"/>
      <selection pane="bottomRight" activeCell="D73" sqref="D73"/>
    </sheetView>
  </sheetViews>
  <sheetFormatPr baseColWidth="10" defaultRowHeight="14.4" x14ac:dyDescent="0.3"/>
  <cols>
    <col min="1" max="1" width="16.88671875" style="51" customWidth="1"/>
    <col min="2" max="2" width="4.6640625" style="31" customWidth="1"/>
    <col min="3" max="3" width="32.33203125" style="109" customWidth="1"/>
    <col min="4" max="4" width="26.33203125" style="4" bestFit="1" customWidth="1"/>
    <col min="5" max="5" width="21.33203125" style="4" customWidth="1"/>
    <col min="6" max="6" width="22.6640625" style="161" customWidth="1"/>
    <col min="7" max="7" width="22" style="4" bestFit="1" customWidth="1"/>
    <col min="8" max="16" width="19.33203125" style="4" customWidth="1"/>
    <col min="17" max="17" width="18.6640625" style="4" customWidth="1"/>
    <col min="18" max="18" width="21.6640625" style="59" customWidth="1"/>
    <col min="19" max="21" width="22" style="4" customWidth="1"/>
    <col min="22" max="22" width="21.5546875" style="4" customWidth="1"/>
    <col min="23" max="25" width="22" style="4" customWidth="1"/>
    <col min="26" max="26" width="21.5546875" style="4" customWidth="1"/>
    <col min="27" max="27" width="22" style="4" customWidth="1"/>
    <col min="28" max="28" width="21.5546875" style="4" customWidth="1"/>
    <col min="29" max="29" width="22.5546875" style="4" customWidth="1"/>
    <col min="30" max="30" width="21.6640625" style="59" customWidth="1"/>
    <col min="31" max="31" width="18.33203125" style="30" customWidth="1"/>
  </cols>
  <sheetData>
    <row r="1" spans="1:33" s="4" customFormat="1" ht="21.75" customHeight="1" x14ac:dyDescent="0.3">
      <c r="A1" s="48" t="s">
        <v>46</v>
      </c>
      <c r="B1" s="34"/>
      <c r="C1" s="101"/>
      <c r="D1" s="33"/>
      <c r="E1" s="32"/>
      <c r="F1" s="753"/>
      <c r="G1" s="11"/>
      <c r="H1" s="12"/>
      <c r="I1" s="13"/>
      <c r="J1" s="9"/>
      <c r="K1" s="9"/>
      <c r="L1" s="9"/>
      <c r="M1" s="9"/>
      <c r="N1" s="9"/>
      <c r="O1" s="9"/>
      <c r="P1" s="9"/>
      <c r="Q1" s="9"/>
      <c r="R1" s="55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55"/>
      <c r="AE1" s="9"/>
      <c r="AF1" s="9"/>
      <c r="AG1" s="10"/>
    </row>
    <row r="2" spans="1:33" s="4" customFormat="1" ht="15.75" customHeight="1" x14ac:dyDescent="0.25">
      <c r="A2" s="48" t="s">
        <v>47</v>
      </c>
      <c r="B2" s="34"/>
      <c r="C2" s="101"/>
      <c r="D2" s="33"/>
      <c r="E2" s="32"/>
      <c r="F2" s="753"/>
      <c r="G2" s="14"/>
      <c r="H2" s="15"/>
      <c r="I2" s="16"/>
      <c r="J2" s="9"/>
      <c r="K2" s="9"/>
      <c r="L2" s="9"/>
      <c r="M2" s="9"/>
      <c r="N2" s="9"/>
      <c r="O2" s="9"/>
      <c r="P2" s="9"/>
      <c r="Q2" s="9"/>
      <c r="R2" s="55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55"/>
      <c r="AE2" s="17"/>
      <c r="AF2" s="9"/>
      <c r="AG2" s="10"/>
    </row>
    <row r="3" spans="1:33" s="4" customFormat="1" ht="20.25" customHeight="1" x14ac:dyDescent="0.25">
      <c r="A3" s="48"/>
      <c r="B3" s="34"/>
      <c r="C3" s="101"/>
      <c r="D3" s="33"/>
      <c r="E3" s="32"/>
      <c r="F3" s="289">
        <v>8795355.7200000007</v>
      </c>
      <c r="G3" s="551"/>
      <c r="H3" s="15"/>
      <c r="I3" s="16"/>
      <c r="J3" s="9"/>
      <c r="K3" s="9"/>
      <c r="L3" s="9"/>
      <c r="M3" s="9"/>
      <c r="N3" s="9"/>
      <c r="O3" s="9"/>
      <c r="P3" s="9"/>
      <c r="Q3" s="9"/>
      <c r="R3" s="55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55"/>
      <c r="AE3" s="17"/>
      <c r="AF3" s="9"/>
      <c r="AG3" s="10"/>
    </row>
    <row r="4" spans="1:33" s="4" customFormat="1" ht="6" customHeight="1" x14ac:dyDescent="0.25">
      <c r="A4" s="48"/>
      <c r="B4" s="34"/>
      <c r="C4" s="101"/>
      <c r="D4" s="33"/>
      <c r="E4" s="32"/>
      <c r="F4" s="753"/>
      <c r="G4" s="14"/>
      <c r="H4" s="15"/>
      <c r="I4" s="16"/>
      <c r="J4" s="9"/>
      <c r="K4" s="9"/>
      <c r="L4" s="9"/>
      <c r="M4" s="9"/>
      <c r="N4" s="9"/>
      <c r="O4" s="9"/>
      <c r="P4" s="9"/>
      <c r="Q4" s="9"/>
      <c r="R4" s="55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55"/>
      <c r="AE4" s="9"/>
      <c r="AF4" s="9"/>
      <c r="AG4" s="10"/>
    </row>
    <row r="5" spans="1:33" ht="21" x14ac:dyDescent="0.3">
      <c r="A5" s="125" t="s">
        <v>48</v>
      </c>
      <c r="B5" s="37"/>
      <c r="C5" s="124"/>
      <c r="D5" s="1106" t="s">
        <v>43</v>
      </c>
      <c r="E5" s="1106" t="s">
        <v>44</v>
      </c>
      <c r="F5" s="1107" t="s">
        <v>85</v>
      </c>
      <c r="G5" s="1123"/>
      <c r="H5" s="1123"/>
      <c r="I5" s="1123"/>
      <c r="J5" s="1123"/>
      <c r="K5" s="1123"/>
      <c r="L5" s="1123"/>
      <c r="M5" s="1123"/>
      <c r="N5" s="1123"/>
      <c r="O5" s="1123"/>
      <c r="P5" s="1123"/>
      <c r="Q5" s="1123"/>
      <c r="R5" s="1101" t="s">
        <v>41</v>
      </c>
      <c r="S5" s="1111">
        <v>2022</v>
      </c>
      <c r="T5" s="1111"/>
      <c r="U5" s="1111"/>
      <c r="V5" s="1111"/>
      <c r="W5" s="1111"/>
      <c r="X5" s="1111"/>
      <c r="Y5" s="1111"/>
      <c r="Z5" s="1111"/>
      <c r="AA5" s="1111"/>
      <c r="AB5" s="1111"/>
      <c r="AC5" s="1111"/>
      <c r="AD5" s="1101" t="s">
        <v>42</v>
      </c>
      <c r="AE5" s="1160" t="s">
        <v>45</v>
      </c>
    </row>
    <row r="6" spans="1:33" s="89" customFormat="1" ht="39.75" customHeight="1" x14ac:dyDescent="0.3">
      <c r="A6" s="119" t="s">
        <v>49</v>
      </c>
      <c r="B6" s="120" t="s">
        <v>50</v>
      </c>
      <c r="C6" s="121" t="s">
        <v>51</v>
      </c>
      <c r="D6" s="1106"/>
      <c r="E6" s="1106"/>
      <c r="F6" s="1107"/>
      <c r="G6" s="122">
        <v>44228</v>
      </c>
      <c r="H6" s="122">
        <v>44256</v>
      </c>
      <c r="I6" s="122">
        <v>44287</v>
      </c>
      <c r="J6" s="122">
        <v>44317</v>
      </c>
      <c r="K6" s="122">
        <v>44348</v>
      </c>
      <c r="L6" s="122">
        <v>44378</v>
      </c>
      <c r="M6" s="122">
        <v>44409</v>
      </c>
      <c r="N6" s="122">
        <v>44440</v>
      </c>
      <c r="O6" s="122">
        <v>44470</v>
      </c>
      <c r="P6" s="122">
        <v>44501</v>
      </c>
      <c r="Q6" s="122">
        <v>44531</v>
      </c>
      <c r="R6" s="1101"/>
      <c r="S6" s="123">
        <v>44562</v>
      </c>
      <c r="T6" s="122">
        <v>44593</v>
      </c>
      <c r="U6" s="122">
        <v>44621</v>
      </c>
      <c r="V6" s="122">
        <v>44652</v>
      </c>
      <c r="W6" s="122">
        <v>44682</v>
      </c>
      <c r="X6" s="122">
        <v>44713</v>
      </c>
      <c r="Y6" s="122">
        <v>44743</v>
      </c>
      <c r="Z6" s="122">
        <v>44774</v>
      </c>
      <c r="AA6" s="122">
        <v>44805</v>
      </c>
      <c r="AB6" s="122">
        <v>44835</v>
      </c>
      <c r="AC6" s="122">
        <v>44866</v>
      </c>
      <c r="AD6" s="1101"/>
      <c r="AE6" s="1160"/>
    </row>
    <row r="7" spans="1:33" s="137" customFormat="1" ht="37.950000000000003" customHeight="1" x14ac:dyDescent="0.25">
      <c r="A7" s="411"/>
      <c r="B7" s="412"/>
      <c r="C7" s="413"/>
      <c r="D7" s="414">
        <f>+D9+D38+D66+D77</f>
        <v>8729796.3200000003</v>
      </c>
      <c r="E7" s="414">
        <f>+E9+E38+E66+E77</f>
        <v>180000</v>
      </c>
      <c r="F7" s="414">
        <f>+D7+E7</f>
        <v>8909796.3200000003</v>
      </c>
      <c r="G7" s="414">
        <f t="shared" ref="G7:AD7" si="0">+G9+G38+G66+G77</f>
        <v>255525.18</v>
      </c>
      <c r="H7" s="414">
        <f t="shared" si="0"/>
        <v>316699.01</v>
      </c>
      <c r="I7" s="414">
        <f t="shared" si="0"/>
        <v>532283.76</v>
      </c>
      <c r="J7" s="414">
        <f t="shared" si="0"/>
        <v>429154</v>
      </c>
      <c r="K7" s="414">
        <f t="shared" si="0"/>
        <v>356215.03</v>
      </c>
      <c r="L7" s="414">
        <f t="shared" si="0"/>
        <v>367017.95333333337</v>
      </c>
      <c r="M7" s="414">
        <f t="shared" si="0"/>
        <v>321272.12</v>
      </c>
      <c r="N7" s="414">
        <f t="shared" si="0"/>
        <v>454589.20999999996</v>
      </c>
      <c r="O7" s="414">
        <f t="shared" si="0"/>
        <v>354272.12</v>
      </c>
      <c r="P7" s="414">
        <f t="shared" si="0"/>
        <v>505624.17</v>
      </c>
      <c r="Q7" s="414">
        <f t="shared" si="0"/>
        <v>480248.36333333328</v>
      </c>
      <c r="R7" s="414">
        <f t="shared" si="0"/>
        <v>4372900.916666667</v>
      </c>
      <c r="S7" s="136">
        <f t="shared" si="0"/>
        <v>304397.12</v>
      </c>
      <c r="T7" s="136">
        <f t="shared" si="0"/>
        <v>451397.12</v>
      </c>
      <c r="U7" s="136">
        <f t="shared" si="0"/>
        <v>414397.12</v>
      </c>
      <c r="V7" s="136">
        <f t="shared" si="0"/>
        <v>334397.12</v>
      </c>
      <c r="W7" s="136">
        <f t="shared" si="0"/>
        <v>393797.12</v>
      </c>
      <c r="X7" s="136">
        <f t="shared" si="0"/>
        <v>344397.12</v>
      </c>
      <c r="Y7" s="136">
        <f t="shared" si="0"/>
        <v>381272.12</v>
      </c>
      <c r="Z7" s="136">
        <f t="shared" si="0"/>
        <v>368397.12</v>
      </c>
      <c r="AA7" s="136">
        <f t="shared" si="0"/>
        <v>363397.12</v>
      </c>
      <c r="AB7" s="136">
        <f t="shared" si="0"/>
        <v>395397.12</v>
      </c>
      <c r="AC7" s="136">
        <f t="shared" si="0"/>
        <v>785649.20333333313</v>
      </c>
      <c r="AD7" s="136">
        <f t="shared" si="0"/>
        <v>4536895.4033333333</v>
      </c>
      <c r="AE7" s="136"/>
    </row>
    <row r="8" spans="1:33" s="424" customFormat="1" ht="12" customHeight="1" x14ac:dyDescent="0.25">
      <c r="A8" s="420"/>
      <c r="B8" s="421"/>
      <c r="C8" s="422"/>
      <c r="D8" s="423"/>
      <c r="E8" s="423"/>
      <c r="F8" s="423"/>
      <c r="G8" s="423"/>
      <c r="H8" s="423"/>
      <c r="I8" s="423"/>
      <c r="J8" s="423"/>
      <c r="K8" s="423"/>
      <c r="L8" s="423"/>
      <c r="M8" s="423"/>
      <c r="N8" s="423"/>
      <c r="O8" s="423"/>
      <c r="P8" s="423"/>
      <c r="Q8" s="423"/>
      <c r="R8" s="423"/>
      <c r="S8" s="423"/>
      <c r="T8" s="423"/>
      <c r="U8" s="423"/>
      <c r="V8" s="423"/>
      <c r="W8" s="423"/>
      <c r="X8" s="423"/>
      <c r="Y8" s="423"/>
      <c r="Z8" s="423"/>
      <c r="AA8" s="423"/>
      <c r="AB8" s="423"/>
      <c r="AC8" s="423"/>
      <c r="AD8" s="423"/>
      <c r="AE8" s="423"/>
    </row>
    <row r="9" spans="1:33" s="89" customFormat="1" ht="30" hidden="1" customHeight="1" x14ac:dyDescent="0.25">
      <c r="A9" s="415" t="s">
        <v>77</v>
      </c>
      <c r="B9" s="416"/>
      <c r="C9" s="417"/>
      <c r="D9" s="418">
        <f t="shared" ref="D9:AD9" si="1">+D11+D32</f>
        <v>3914155.7199999997</v>
      </c>
      <c r="E9" s="418">
        <f t="shared" si="1"/>
        <v>180000</v>
      </c>
      <c r="F9" s="418">
        <f t="shared" si="1"/>
        <v>4094155.7199999997</v>
      </c>
      <c r="G9" s="418">
        <f t="shared" si="1"/>
        <v>133958.12</v>
      </c>
      <c r="H9" s="418">
        <f t="shared" si="1"/>
        <v>141333.12</v>
      </c>
      <c r="I9" s="418">
        <f t="shared" si="1"/>
        <v>217869.16</v>
      </c>
      <c r="J9" s="418">
        <f t="shared" si="1"/>
        <v>199080</v>
      </c>
      <c r="K9" s="418">
        <f t="shared" si="1"/>
        <v>170741.03</v>
      </c>
      <c r="L9" s="418">
        <f t="shared" si="1"/>
        <v>178643.95333333334</v>
      </c>
      <c r="M9" s="418">
        <f t="shared" si="1"/>
        <v>174998.12</v>
      </c>
      <c r="N9" s="418">
        <f t="shared" si="1"/>
        <v>174998.12</v>
      </c>
      <c r="O9" s="418">
        <f t="shared" si="1"/>
        <v>174998.12</v>
      </c>
      <c r="P9" s="418">
        <f t="shared" si="1"/>
        <v>174998.12</v>
      </c>
      <c r="Q9" s="418">
        <f t="shared" si="1"/>
        <v>274431.45333333325</v>
      </c>
      <c r="R9" s="418">
        <f t="shared" si="1"/>
        <v>2016049.3166666667</v>
      </c>
      <c r="S9" s="418">
        <f t="shared" si="1"/>
        <v>174998.12</v>
      </c>
      <c r="T9" s="418">
        <f t="shared" si="1"/>
        <v>174998.12</v>
      </c>
      <c r="U9" s="418">
        <f t="shared" si="1"/>
        <v>174998.12</v>
      </c>
      <c r="V9" s="418">
        <f t="shared" si="1"/>
        <v>174998.12</v>
      </c>
      <c r="W9" s="418">
        <f t="shared" si="1"/>
        <v>174998.12</v>
      </c>
      <c r="X9" s="418">
        <f t="shared" si="1"/>
        <v>174998.12</v>
      </c>
      <c r="Y9" s="418">
        <f t="shared" si="1"/>
        <v>196873.12</v>
      </c>
      <c r="Z9" s="418">
        <f t="shared" si="1"/>
        <v>174998.12</v>
      </c>
      <c r="AA9" s="418">
        <f t="shared" si="1"/>
        <v>174998.12</v>
      </c>
      <c r="AB9" s="418">
        <f t="shared" si="1"/>
        <v>174998.12</v>
      </c>
      <c r="AC9" s="418">
        <f t="shared" si="1"/>
        <v>306250.20333333319</v>
      </c>
      <c r="AD9" s="418">
        <f t="shared" si="1"/>
        <v>2078106.4033333333</v>
      </c>
      <c r="AE9" s="419"/>
    </row>
    <row r="10" spans="1:33" s="89" customFormat="1" ht="15.75" hidden="1" x14ac:dyDescent="0.25">
      <c r="A10" s="1121" t="s">
        <v>52</v>
      </c>
      <c r="B10" s="1121"/>
      <c r="C10" s="1121"/>
      <c r="D10" s="130" t="e">
        <f>+S10+#REF!</f>
        <v>#REF!</v>
      </c>
      <c r="E10" s="130" t="e">
        <f>+T10+D10</f>
        <v>#REF!</v>
      </c>
      <c r="F10" s="132"/>
      <c r="G10" s="131"/>
      <c r="H10" s="131"/>
      <c r="I10" s="131"/>
      <c r="J10" s="131"/>
      <c r="K10" s="131"/>
      <c r="L10" s="131"/>
      <c r="M10" s="131"/>
      <c r="N10" s="131"/>
      <c r="O10" s="131"/>
      <c r="P10" s="131"/>
      <c r="Q10" s="131"/>
      <c r="R10" s="132"/>
      <c r="S10" s="133"/>
      <c r="T10" s="131"/>
      <c r="U10" s="131"/>
      <c r="V10" s="131"/>
      <c r="W10" s="131"/>
      <c r="X10" s="131"/>
      <c r="Y10" s="131"/>
      <c r="Z10" s="131"/>
      <c r="AA10" s="131"/>
      <c r="AB10" s="131"/>
      <c r="AC10" s="131"/>
      <c r="AD10" s="132"/>
      <c r="AE10" s="134"/>
    </row>
    <row r="11" spans="1:33" ht="18.75" hidden="1" customHeight="1" x14ac:dyDescent="0.25">
      <c r="A11" s="781" t="s">
        <v>53</v>
      </c>
      <c r="B11" s="20"/>
      <c r="C11" s="102"/>
      <c r="D11" s="69">
        <f>+D12+D17</f>
        <v>3914155.7199999997</v>
      </c>
      <c r="E11" s="69">
        <f>+E12+E17</f>
        <v>0</v>
      </c>
      <c r="F11" s="69">
        <f>+D11+E11</f>
        <v>3914155.7199999997</v>
      </c>
      <c r="G11" s="69">
        <f>+G12</f>
        <v>133958.12</v>
      </c>
      <c r="H11" s="69">
        <f t="shared" ref="H11:K11" si="2">+H12</f>
        <v>133958.12</v>
      </c>
      <c r="I11" s="69">
        <f t="shared" si="2"/>
        <v>135244.16</v>
      </c>
      <c r="J11" s="69">
        <f t="shared" si="2"/>
        <v>109080</v>
      </c>
      <c r="K11" s="69">
        <f t="shared" si="2"/>
        <v>170741.03</v>
      </c>
      <c r="L11" s="69">
        <f>+L12</f>
        <v>178643.95333333334</v>
      </c>
      <c r="M11" s="69">
        <f t="shared" ref="M11" si="3">+M12</f>
        <v>174998.12</v>
      </c>
      <c r="N11" s="69">
        <f t="shared" ref="N11" si="4">+N12</f>
        <v>174998.12</v>
      </c>
      <c r="O11" s="69">
        <f t="shared" ref="O11" si="5">+O12</f>
        <v>174998.12</v>
      </c>
      <c r="P11" s="69">
        <f t="shared" ref="P11" si="6">+P12</f>
        <v>174998.12</v>
      </c>
      <c r="Q11" s="69">
        <f>+Q12</f>
        <v>274431.45333333325</v>
      </c>
      <c r="R11" s="69">
        <f t="shared" ref="R11" si="7">+R12</f>
        <v>1836049.3166666667</v>
      </c>
      <c r="S11" s="69">
        <f>+S12</f>
        <v>174998.12</v>
      </c>
      <c r="T11" s="69">
        <f t="shared" ref="T11" si="8">+T12</f>
        <v>174998.12</v>
      </c>
      <c r="U11" s="69">
        <f t="shared" ref="U11" si="9">+U12</f>
        <v>174998.12</v>
      </c>
      <c r="V11" s="69">
        <f t="shared" ref="V11" si="10">+V12</f>
        <v>174998.12</v>
      </c>
      <c r="W11" s="69">
        <f t="shared" ref="W11" si="11">+W12</f>
        <v>174998.12</v>
      </c>
      <c r="X11" s="69">
        <f>+X12</f>
        <v>174998.12</v>
      </c>
      <c r="Y11" s="69">
        <f t="shared" ref="Y11" si="12">+Y12</f>
        <v>196873.12</v>
      </c>
      <c r="Z11" s="69">
        <f t="shared" ref="Z11" si="13">+Z12</f>
        <v>174998.12</v>
      </c>
      <c r="AA11" s="69">
        <f t="shared" ref="AA11" si="14">+AA12</f>
        <v>174998.12</v>
      </c>
      <c r="AB11" s="69">
        <f t="shared" ref="AB11" si="15">+AB12</f>
        <v>174998.12</v>
      </c>
      <c r="AC11" s="69">
        <f>+AC12</f>
        <v>306250.20333333319</v>
      </c>
      <c r="AD11" s="69">
        <f t="shared" ref="AD11" si="16">+AD12</f>
        <v>2078106.4033333333</v>
      </c>
      <c r="AE11" s="20"/>
    </row>
    <row r="12" spans="1:33" ht="14.4" hidden="1" customHeight="1" x14ac:dyDescent="0.25">
      <c r="A12" s="1075" t="s">
        <v>76</v>
      </c>
      <c r="B12" s="40"/>
      <c r="C12" s="108"/>
      <c r="D12" s="70">
        <f>SUM(D14:D16)</f>
        <v>1504515.7199999997</v>
      </c>
      <c r="E12" s="70">
        <f>SUM(E14:E16)</f>
        <v>0</v>
      </c>
      <c r="F12" s="70">
        <f>+D12+E12</f>
        <v>1504515.7199999997</v>
      </c>
      <c r="G12" s="70">
        <f t="shared" ref="G12:AD12" si="17">+G13+G17</f>
        <v>133958.12</v>
      </c>
      <c r="H12" s="70">
        <f t="shared" si="17"/>
        <v>133958.12</v>
      </c>
      <c r="I12" s="70">
        <f t="shared" si="17"/>
        <v>135244.16</v>
      </c>
      <c r="J12" s="70">
        <f t="shared" si="17"/>
        <v>109080</v>
      </c>
      <c r="K12" s="70">
        <f t="shared" si="17"/>
        <v>170741.03</v>
      </c>
      <c r="L12" s="70">
        <f t="shared" si="17"/>
        <v>178643.95333333334</v>
      </c>
      <c r="M12" s="70">
        <f t="shared" si="17"/>
        <v>174998.12</v>
      </c>
      <c r="N12" s="70">
        <f t="shared" si="17"/>
        <v>174998.12</v>
      </c>
      <c r="O12" s="70">
        <f t="shared" si="17"/>
        <v>174998.12</v>
      </c>
      <c r="P12" s="70">
        <f t="shared" si="17"/>
        <v>174998.12</v>
      </c>
      <c r="Q12" s="70">
        <f t="shared" si="17"/>
        <v>274431.45333333325</v>
      </c>
      <c r="R12" s="70">
        <f t="shared" si="17"/>
        <v>1836049.3166666667</v>
      </c>
      <c r="S12" s="99">
        <f t="shared" si="17"/>
        <v>174998.12</v>
      </c>
      <c r="T12" s="70">
        <f t="shared" si="17"/>
        <v>174998.12</v>
      </c>
      <c r="U12" s="70">
        <f t="shared" si="17"/>
        <v>174998.12</v>
      </c>
      <c r="V12" s="70">
        <f t="shared" si="17"/>
        <v>174998.12</v>
      </c>
      <c r="W12" s="70">
        <f t="shared" si="17"/>
        <v>174998.12</v>
      </c>
      <c r="X12" s="70">
        <f t="shared" si="17"/>
        <v>174998.12</v>
      </c>
      <c r="Y12" s="70">
        <f t="shared" si="17"/>
        <v>196873.12</v>
      </c>
      <c r="Z12" s="70">
        <f t="shared" si="17"/>
        <v>174998.12</v>
      </c>
      <c r="AA12" s="70">
        <f t="shared" si="17"/>
        <v>174998.12</v>
      </c>
      <c r="AB12" s="70">
        <f t="shared" si="17"/>
        <v>174998.12</v>
      </c>
      <c r="AC12" s="70">
        <f t="shared" si="17"/>
        <v>306250.20333333319</v>
      </c>
      <c r="AD12" s="70">
        <f t="shared" si="17"/>
        <v>2078106.4033333333</v>
      </c>
      <c r="AE12" s="40"/>
    </row>
    <row r="13" spans="1:33" ht="15" hidden="1" x14ac:dyDescent="0.25">
      <c r="A13" s="1076"/>
      <c r="B13" s="52"/>
      <c r="C13" s="103"/>
      <c r="D13" s="72">
        <f t="shared" ref="D13:AD13" si="18">SUM(D14:D16)</f>
        <v>1504515.7199999997</v>
      </c>
      <c r="E13" s="72">
        <f t="shared" si="18"/>
        <v>0</v>
      </c>
      <c r="F13" s="72">
        <f t="shared" si="18"/>
        <v>1504515.7199999997</v>
      </c>
      <c r="G13" s="72">
        <f t="shared" si="18"/>
        <v>48918.12</v>
      </c>
      <c r="H13" s="72">
        <f t="shared" si="18"/>
        <v>48918.12</v>
      </c>
      <c r="I13" s="72">
        <f t="shared" si="18"/>
        <v>40204.160000000003</v>
      </c>
      <c r="J13" s="72">
        <f t="shared" si="18"/>
        <v>0</v>
      </c>
      <c r="K13" s="72">
        <f t="shared" si="18"/>
        <v>57661.03</v>
      </c>
      <c r="L13" s="72">
        <f t="shared" si="18"/>
        <v>65563.953333333338</v>
      </c>
      <c r="M13" s="72">
        <f t="shared" si="18"/>
        <v>61918.12</v>
      </c>
      <c r="N13" s="72">
        <f t="shared" si="18"/>
        <v>61918.12</v>
      </c>
      <c r="O13" s="72">
        <f t="shared" si="18"/>
        <v>61918.12</v>
      </c>
      <c r="P13" s="72">
        <f t="shared" si="18"/>
        <v>61918.12</v>
      </c>
      <c r="Q13" s="72">
        <f t="shared" si="18"/>
        <v>161351.45333333328</v>
      </c>
      <c r="R13" s="72">
        <f t="shared" si="18"/>
        <v>670289.31666666665</v>
      </c>
      <c r="S13" s="72">
        <f t="shared" si="18"/>
        <v>61918.12</v>
      </c>
      <c r="T13" s="72">
        <f t="shared" si="18"/>
        <v>61918.12</v>
      </c>
      <c r="U13" s="72">
        <f t="shared" si="18"/>
        <v>61918.12</v>
      </c>
      <c r="V13" s="72">
        <f t="shared" si="18"/>
        <v>61918.12</v>
      </c>
      <c r="W13" s="72">
        <f t="shared" si="18"/>
        <v>61918.12</v>
      </c>
      <c r="X13" s="72">
        <f t="shared" si="18"/>
        <v>61918.12</v>
      </c>
      <c r="Y13" s="72">
        <f t="shared" si="18"/>
        <v>83793.119999999981</v>
      </c>
      <c r="Z13" s="72">
        <f t="shared" si="18"/>
        <v>61918.12</v>
      </c>
      <c r="AA13" s="72">
        <f t="shared" si="18"/>
        <v>61918.12</v>
      </c>
      <c r="AB13" s="72">
        <f t="shared" si="18"/>
        <v>61918.12</v>
      </c>
      <c r="AC13" s="72">
        <f t="shared" si="18"/>
        <v>193170.20333333319</v>
      </c>
      <c r="AD13" s="72">
        <f t="shared" si="18"/>
        <v>834226.4033333332</v>
      </c>
      <c r="AE13" s="53"/>
    </row>
    <row r="14" spans="1:33" ht="15" hidden="1" x14ac:dyDescent="0.25">
      <c r="A14" s="1076"/>
      <c r="B14" s="39" t="s">
        <v>2</v>
      </c>
      <c r="C14" s="104" t="s">
        <v>54</v>
      </c>
      <c r="D14" s="23">
        <f>+R14+AD14</f>
        <v>742950.19333333313</v>
      </c>
      <c r="E14" s="23">
        <v>0</v>
      </c>
      <c r="F14" s="74">
        <f t="shared" ref="F14:F77" si="19">+D14+E14</f>
        <v>742950.19333333313</v>
      </c>
      <c r="G14" s="73">
        <f>+'F1,F2,F3,F4 (Desglose)'!H13</f>
        <v>28332.510000000002</v>
      </c>
      <c r="H14" s="73">
        <f>+'F1,F2,F3,F4 (Desglose)'!I13</f>
        <v>28332.510000000002</v>
      </c>
      <c r="I14" s="73">
        <f>+'F1,F2,F3,F4 (Desglose)'!J13</f>
        <v>23310.41</v>
      </c>
      <c r="J14" s="73">
        <f>+'F1,F2,F3,F4 (Desglose)'!K13</f>
        <v>0</v>
      </c>
      <c r="K14" s="73">
        <f>+'F1,F2,F3,F4 (Desglose)'!L13</f>
        <v>28332.510000000002</v>
      </c>
      <c r="L14" s="73">
        <f>+'F1,F2,F3,F4 (Desglose)'!M13</f>
        <v>30447.093333333331</v>
      </c>
      <c r="M14" s="73">
        <f>+'F1,F2,F3,F4 (Desglose)'!N13</f>
        <v>28332.510000000002</v>
      </c>
      <c r="N14" s="73">
        <f>+'F1,F2,F3,F4 (Desglose)'!O13</f>
        <v>28332.510000000002</v>
      </c>
      <c r="O14" s="73">
        <f>+'F1,F2,F3,F4 (Desglose)'!P13</f>
        <v>28332.510000000002</v>
      </c>
      <c r="P14" s="73">
        <f>+'F1,F2,F3,F4 (Desglose)'!Q13</f>
        <v>28332.510000000002</v>
      </c>
      <c r="Q14" s="73">
        <f>+'F1,F2,F3,F4 (Desglose)'!R13</f>
        <v>85982.509999999951</v>
      </c>
      <c r="R14" s="74">
        <f>SUM(G14:Q14)</f>
        <v>338067.58333333331</v>
      </c>
      <c r="S14" s="96">
        <f>+'[2]F1,F2,F3,F4'!$S$11</f>
        <v>28332.510000000002</v>
      </c>
      <c r="T14" s="73">
        <f>+'[2]F1,F2,F3,F4'!$S$11</f>
        <v>28332.510000000002</v>
      </c>
      <c r="U14" s="73">
        <f>+'[2]F1,F2,F3,F4'!$S$11</f>
        <v>28332.510000000002</v>
      </c>
      <c r="V14" s="73">
        <f>+'[2]F1,F2,F3,F4'!$S$11</f>
        <v>28332.510000000002</v>
      </c>
      <c r="W14" s="73">
        <f>+'[2]F1,F2,F3,F4'!$S$11</f>
        <v>28332.510000000002</v>
      </c>
      <c r="X14" s="73">
        <f>+'[2]F1,F2,F3,F4'!$S$11</f>
        <v>28332.510000000002</v>
      </c>
      <c r="Y14" s="73">
        <f>+'[2]F1,F2,F3,F4'!$Y$11</f>
        <v>41020.00999999998</v>
      </c>
      <c r="Z14" s="73">
        <f>+'[2]F1,F2,F3,F4'!$S$11</f>
        <v>28332.510000000002</v>
      </c>
      <c r="AA14" s="73">
        <f>+'[2]F1,F2,F3,F4'!$S$11</f>
        <v>28332.510000000002</v>
      </c>
      <c r="AB14" s="73">
        <f>+'[2]F1,F2,F3,F4'!$S$11</f>
        <v>28332.510000000002</v>
      </c>
      <c r="AC14" s="73">
        <f>+'[2]F1,F2,F3,F4'!$AC$11</f>
        <v>108870.00999999986</v>
      </c>
      <c r="AD14" s="74">
        <f>SUM(S14:AC14)</f>
        <v>404882.60999999987</v>
      </c>
      <c r="AE14" s="24"/>
    </row>
    <row r="15" spans="1:33" ht="30" hidden="1" x14ac:dyDescent="0.25">
      <c r="A15" s="1076"/>
      <c r="B15" s="379" t="s">
        <v>3</v>
      </c>
      <c r="C15" s="104" t="s">
        <v>55</v>
      </c>
      <c r="D15" s="23">
        <f>+R15+AD15</f>
        <v>531822.6166666667</v>
      </c>
      <c r="E15" s="23">
        <v>0</v>
      </c>
      <c r="F15" s="74">
        <f t="shared" si="19"/>
        <v>531822.6166666667</v>
      </c>
      <c r="G15" s="73">
        <f>+'F1,F2,F3,F4 (Desglose)'!H23</f>
        <v>20585.61</v>
      </c>
      <c r="H15" s="73">
        <f>+'F1,F2,F3,F4 (Desglose)'!I23</f>
        <v>20585.61</v>
      </c>
      <c r="I15" s="73">
        <f>+'F1,F2,F3,F4 (Desglose)'!J23</f>
        <v>16893.75</v>
      </c>
      <c r="J15" s="73">
        <f>+'F1,F2,F3,F4 (Desglose)'!K23</f>
        <v>0</v>
      </c>
      <c r="K15" s="73">
        <f>+'F1,F2,F3,F4 (Desglose)'!L23</f>
        <v>20585.61</v>
      </c>
      <c r="L15" s="73">
        <f>+'F1,F2,F3,F4 (Desglose)'!M23</f>
        <v>22116.86</v>
      </c>
      <c r="M15" s="73">
        <f>+'F1,F2,F3,F4 (Desglose)'!N23</f>
        <v>20585.61</v>
      </c>
      <c r="N15" s="73">
        <f>+'F1,F2,F3,F4 (Desglose)'!O23</f>
        <v>20585.61</v>
      </c>
      <c r="O15" s="73">
        <f>+'F1,F2,F3,F4 (Desglose)'!P23</f>
        <v>20585.61</v>
      </c>
      <c r="P15" s="73">
        <f>+'F1,F2,F3,F4 (Desglose)'!Q23</f>
        <v>20585.61</v>
      </c>
      <c r="Q15" s="73">
        <f>+'F1,F2,F3,F4 (Desglose)'!R23</f>
        <v>62368.943333333336</v>
      </c>
      <c r="R15" s="74">
        <f t="shared" ref="R15:R31" si="20">SUM(G15:Q15)</f>
        <v>245478.82333333333</v>
      </c>
      <c r="S15" s="96">
        <f>+'[2]F1,F2,F3,F4'!$S$24</f>
        <v>20585.61</v>
      </c>
      <c r="T15" s="73">
        <f>+'[2]F1,F2,F3,F4'!$S$24</f>
        <v>20585.61</v>
      </c>
      <c r="U15" s="73">
        <f>+'[2]F1,F2,F3,F4'!$S$24</f>
        <v>20585.61</v>
      </c>
      <c r="V15" s="73">
        <f>+'[2]F1,F2,F3,F4'!$S$24</f>
        <v>20585.61</v>
      </c>
      <c r="W15" s="73">
        <f>+'[2]F1,F2,F3,F4'!$S$24</f>
        <v>20585.61</v>
      </c>
      <c r="X15" s="73">
        <f>+'[2]F1,F2,F3,F4'!$S$24</f>
        <v>20585.61</v>
      </c>
      <c r="Y15" s="73">
        <f>+'[2]F1,F2,F3,F4'!$Y$24</f>
        <v>29773.11</v>
      </c>
      <c r="Z15" s="73">
        <f>+'[2]F1,F2,F3,F4'!$S$24</f>
        <v>20585.61</v>
      </c>
      <c r="AA15" s="73">
        <f>+'[2]F1,F2,F3,F4'!$S$24</f>
        <v>20585.61</v>
      </c>
      <c r="AB15" s="73">
        <f>+'[2]F1,F2,F3,F4'!$S$24</f>
        <v>20585.61</v>
      </c>
      <c r="AC15" s="73">
        <f>+'[2]F1,F2,F3,F4'!$AC$24</f>
        <v>71300.193333333329</v>
      </c>
      <c r="AD15" s="74">
        <f t="shared" ref="AD15:AD31" si="21">SUM(S15:AC15)</f>
        <v>286343.79333333333</v>
      </c>
      <c r="AE15" s="24"/>
    </row>
    <row r="16" spans="1:33" s="4" customFormat="1" ht="15" hidden="1" x14ac:dyDescent="0.25">
      <c r="A16" s="1076"/>
      <c r="B16" s="379" t="s">
        <v>4</v>
      </c>
      <c r="C16" s="2" t="s">
        <v>75</v>
      </c>
      <c r="D16" s="23">
        <f>+R16+AD16</f>
        <v>229742.91</v>
      </c>
      <c r="E16" s="23">
        <v>0</v>
      </c>
      <c r="F16" s="74">
        <f t="shared" si="19"/>
        <v>229742.91</v>
      </c>
      <c r="G16" s="73">
        <f>+'F1,F2,F3,F4 (Desglose)'!H33</f>
        <v>0</v>
      </c>
      <c r="H16" s="73">
        <f>+'F1,F2,F3,F4 (Desglose)'!I33</f>
        <v>0</v>
      </c>
      <c r="I16" s="73">
        <f>+'F1,F2,F3,F4 (Desglose)'!J33</f>
        <v>0</v>
      </c>
      <c r="J16" s="73">
        <f>+'F1,F2,F3,F4 (Desglose)'!K33</f>
        <v>0</v>
      </c>
      <c r="K16" s="73">
        <f>+'F1,F2,F3,F4 (Desglose)'!L33</f>
        <v>8742.91</v>
      </c>
      <c r="L16" s="73">
        <f>+'F1,F2,F3,F4 (Desglose)'!M33</f>
        <v>13000</v>
      </c>
      <c r="M16" s="73">
        <f>+'F1,F2,F3,F4 (Desglose)'!N33</f>
        <v>13000</v>
      </c>
      <c r="N16" s="73">
        <f>+'F1,F2,F3,F4 (Desglose)'!O33</f>
        <v>13000</v>
      </c>
      <c r="O16" s="73">
        <f>+'F1,F2,F3,F4 (Desglose)'!P33</f>
        <v>13000</v>
      </c>
      <c r="P16" s="73">
        <f>+'F1,F2,F3,F4 (Desglose)'!Q33</f>
        <v>13000</v>
      </c>
      <c r="Q16" s="73">
        <f>+'F1,F2,F3,F4 (Desglose)'!R33</f>
        <v>13000</v>
      </c>
      <c r="R16" s="74">
        <f t="shared" si="20"/>
        <v>86742.91</v>
      </c>
      <c r="S16" s="73">
        <f>+'F1,F2,F3,F4 (Desglose)'!T33</f>
        <v>13000</v>
      </c>
      <c r="T16" s="73">
        <f>+'F1,F2,F3,F4 (Desglose)'!U33</f>
        <v>13000</v>
      </c>
      <c r="U16" s="73">
        <f>+'F1,F2,F3,F4 (Desglose)'!V33</f>
        <v>13000</v>
      </c>
      <c r="V16" s="73">
        <f>+'F1,F2,F3,F4 (Desglose)'!W33</f>
        <v>13000</v>
      </c>
      <c r="W16" s="73">
        <f>+'F1,F2,F3,F4 (Desglose)'!X33</f>
        <v>13000</v>
      </c>
      <c r="X16" s="73">
        <f>+'F1,F2,F3,F4 (Desglose)'!Y33</f>
        <v>13000</v>
      </c>
      <c r="Y16" s="73">
        <f>+'F1,F2,F3,F4 (Desglose)'!Z33</f>
        <v>13000</v>
      </c>
      <c r="Z16" s="73">
        <f>+'F1,F2,F3,F4 (Desglose)'!AA33</f>
        <v>13000</v>
      </c>
      <c r="AA16" s="73">
        <f>+'F1,F2,F3,F4 (Desglose)'!AB33</f>
        <v>13000</v>
      </c>
      <c r="AB16" s="73">
        <f>+'F1,F2,F3,F4 (Desglose)'!AC33</f>
        <v>13000</v>
      </c>
      <c r="AC16" s="73">
        <f>+'F1,F2,F3,F4 (Desglose)'!AD33</f>
        <v>13000</v>
      </c>
      <c r="AD16" s="74">
        <f t="shared" si="21"/>
        <v>143000</v>
      </c>
      <c r="AE16" s="24"/>
    </row>
    <row r="17" spans="1:31" ht="15" hidden="1" x14ac:dyDescent="0.25">
      <c r="A17" s="1094" t="s">
        <v>78</v>
      </c>
      <c r="B17" s="391"/>
      <c r="C17" s="403"/>
      <c r="D17" s="404">
        <f>SUM(D18:D31)</f>
        <v>2409640</v>
      </c>
      <c r="E17" s="404">
        <f>SUM(E18:E31)</f>
        <v>0</v>
      </c>
      <c r="F17" s="404">
        <f t="shared" si="19"/>
        <v>2409640</v>
      </c>
      <c r="G17" s="404">
        <f>SUM(G18:G31)</f>
        <v>85040</v>
      </c>
      <c r="H17" s="404">
        <f t="shared" ref="H17:R17" si="22">SUM(H18:H31)</f>
        <v>85040</v>
      </c>
      <c r="I17" s="404">
        <f t="shared" si="22"/>
        <v>95040</v>
      </c>
      <c r="J17" s="404">
        <f t="shared" si="22"/>
        <v>109080</v>
      </c>
      <c r="K17" s="404">
        <f t="shared" si="22"/>
        <v>113080</v>
      </c>
      <c r="L17" s="404">
        <f t="shared" si="22"/>
        <v>113080</v>
      </c>
      <c r="M17" s="404">
        <f t="shared" si="22"/>
        <v>113080</v>
      </c>
      <c r="N17" s="404">
        <f t="shared" si="22"/>
        <v>113080</v>
      </c>
      <c r="O17" s="404">
        <f t="shared" si="22"/>
        <v>113080</v>
      </c>
      <c r="P17" s="404">
        <f t="shared" si="22"/>
        <v>113080</v>
      </c>
      <c r="Q17" s="404">
        <f t="shared" si="22"/>
        <v>113080</v>
      </c>
      <c r="R17" s="404">
        <f t="shared" si="22"/>
        <v>1165760</v>
      </c>
      <c r="S17" s="405">
        <f t="shared" ref="S17:AD17" si="23">SUM(S18:S31)</f>
        <v>113080</v>
      </c>
      <c r="T17" s="404">
        <f t="shared" si="23"/>
        <v>113080</v>
      </c>
      <c r="U17" s="404">
        <f t="shared" si="23"/>
        <v>113080</v>
      </c>
      <c r="V17" s="404">
        <f t="shared" si="23"/>
        <v>113080</v>
      </c>
      <c r="W17" s="404">
        <f t="shared" si="23"/>
        <v>113080</v>
      </c>
      <c r="X17" s="404">
        <f t="shared" si="23"/>
        <v>113080</v>
      </c>
      <c r="Y17" s="404">
        <f t="shared" si="23"/>
        <v>113080</v>
      </c>
      <c r="Z17" s="404">
        <f t="shared" si="23"/>
        <v>113080</v>
      </c>
      <c r="AA17" s="404">
        <f t="shared" si="23"/>
        <v>113080</v>
      </c>
      <c r="AB17" s="404">
        <f t="shared" si="23"/>
        <v>113080</v>
      </c>
      <c r="AC17" s="404">
        <f t="shared" si="23"/>
        <v>113080</v>
      </c>
      <c r="AD17" s="404">
        <f t="shared" si="23"/>
        <v>1243880</v>
      </c>
      <c r="AE17" s="40"/>
    </row>
    <row r="18" spans="1:31" ht="15" hidden="1" x14ac:dyDescent="0.25">
      <c r="A18" s="1105"/>
      <c r="B18" s="1" t="s">
        <v>2</v>
      </c>
      <c r="C18" s="2" t="s">
        <v>56</v>
      </c>
      <c r="D18" s="23">
        <f>+R18+AD18</f>
        <v>220000</v>
      </c>
      <c r="E18" s="23">
        <v>0</v>
      </c>
      <c r="F18" s="74">
        <f t="shared" si="19"/>
        <v>220000</v>
      </c>
      <c r="G18" s="73">
        <v>10000</v>
      </c>
      <c r="H18" s="73">
        <v>10000</v>
      </c>
      <c r="I18" s="73">
        <v>10000</v>
      </c>
      <c r="J18" s="73">
        <v>10000</v>
      </c>
      <c r="K18" s="73">
        <v>10000</v>
      </c>
      <c r="L18" s="73">
        <v>10000</v>
      </c>
      <c r="M18" s="73">
        <v>10000</v>
      </c>
      <c r="N18" s="73">
        <v>10000</v>
      </c>
      <c r="O18" s="73">
        <v>10000</v>
      </c>
      <c r="P18" s="73">
        <v>10000</v>
      </c>
      <c r="Q18" s="73">
        <v>10000</v>
      </c>
      <c r="R18" s="74">
        <f t="shared" si="20"/>
        <v>110000</v>
      </c>
      <c r="S18" s="96">
        <v>10000</v>
      </c>
      <c r="T18" s="73">
        <v>10000</v>
      </c>
      <c r="U18" s="73">
        <v>10000</v>
      </c>
      <c r="V18" s="73">
        <v>10000</v>
      </c>
      <c r="W18" s="73">
        <v>10000</v>
      </c>
      <c r="X18" s="73">
        <v>10000</v>
      </c>
      <c r="Y18" s="73">
        <v>10000</v>
      </c>
      <c r="Z18" s="73">
        <v>10000</v>
      </c>
      <c r="AA18" s="73">
        <v>10000</v>
      </c>
      <c r="AB18" s="73">
        <v>10000</v>
      </c>
      <c r="AC18" s="73">
        <v>10000</v>
      </c>
      <c r="AD18" s="74">
        <f t="shared" si="21"/>
        <v>110000</v>
      </c>
      <c r="AE18" s="24"/>
    </row>
    <row r="19" spans="1:31" ht="30" hidden="1" x14ac:dyDescent="0.25">
      <c r="A19" s="1105"/>
      <c r="B19" s="1" t="s">
        <v>3</v>
      </c>
      <c r="C19" s="47" t="s">
        <v>560</v>
      </c>
      <c r="D19" s="23">
        <f t="shared" ref="D19:D31" si="24">+R19+AD19</f>
        <v>420000</v>
      </c>
      <c r="E19" s="23">
        <v>0</v>
      </c>
      <c r="F19" s="74">
        <f t="shared" si="19"/>
        <v>420000</v>
      </c>
      <c r="G19" s="73">
        <v>10000</v>
      </c>
      <c r="H19" s="73">
        <v>10000</v>
      </c>
      <c r="I19" s="73">
        <v>20000</v>
      </c>
      <c r="J19" s="73">
        <v>20000</v>
      </c>
      <c r="K19" s="73">
        <v>20000</v>
      </c>
      <c r="L19" s="73">
        <v>20000</v>
      </c>
      <c r="M19" s="73">
        <v>20000</v>
      </c>
      <c r="N19" s="73">
        <v>20000</v>
      </c>
      <c r="O19" s="73">
        <v>20000</v>
      </c>
      <c r="P19" s="73">
        <v>20000</v>
      </c>
      <c r="Q19" s="73">
        <v>20000</v>
      </c>
      <c r="R19" s="74">
        <f t="shared" si="20"/>
        <v>200000</v>
      </c>
      <c r="S19" s="96">
        <v>20000</v>
      </c>
      <c r="T19" s="73">
        <v>20000</v>
      </c>
      <c r="U19" s="73">
        <v>20000</v>
      </c>
      <c r="V19" s="73">
        <v>20000</v>
      </c>
      <c r="W19" s="73">
        <v>20000</v>
      </c>
      <c r="X19" s="73">
        <v>20000</v>
      </c>
      <c r="Y19" s="73">
        <v>20000</v>
      </c>
      <c r="Z19" s="73">
        <v>20000</v>
      </c>
      <c r="AA19" s="73">
        <v>20000</v>
      </c>
      <c r="AB19" s="73">
        <v>20000</v>
      </c>
      <c r="AC19" s="73">
        <v>20000</v>
      </c>
      <c r="AD19" s="74">
        <f t="shared" si="21"/>
        <v>220000</v>
      </c>
      <c r="AE19" s="24"/>
    </row>
    <row r="20" spans="1:31" ht="15" hidden="1" x14ac:dyDescent="0.25">
      <c r="A20" s="1105"/>
      <c r="B20" s="1" t="s">
        <v>4</v>
      </c>
      <c r="C20" s="3" t="s">
        <v>57</v>
      </c>
      <c r="D20" s="23">
        <f t="shared" si="24"/>
        <v>220000</v>
      </c>
      <c r="E20" s="23">
        <v>0</v>
      </c>
      <c r="F20" s="74">
        <f t="shared" si="19"/>
        <v>220000</v>
      </c>
      <c r="G20" s="73">
        <v>10000</v>
      </c>
      <c r="H20" s="73">
        <v>10000</v>
      </c>
      <c r="I20" s="73">
        <v>10000</v>
      </c>
      <c r="J20" s="73">
        <v>10000</v>
      </c>
      <c r="K20" s="73">
        <v>10000</v>
      </c>
      <c r="L20" s="73">
        <v>10000</v>
      </c>
      <c r="M20" s="73">
        <v>10000</v>
      </c>
      <c r="N20" s="73">
        <v>10000</v>
      </c>
      <c r="O20" s="73">
        <v>10000</v>
      </c>
      <c r="P20" s="73">
        <v>10000</v>
      </c>
      <c r="Q20" s="73">
        <v>10000</v>
      </c>
      <c r="R20" s="74">
        <f t="shared" si="20"/>
        <v>110000</v>
      </c>
      <c r="S20" s="96">
        <v>10000</v>
      </c>
      <c r="T20" s="73">
        <v>10000</v>
      </c>
      <c r="U20" s="73">
        <v>10000</v>
      </c>
      <c r="V20" s="73">
        <v>10000</v>
      </c>
      <c r="W20" s="73">
        <v>10000</v>
      </c>
      <c r="X20" s="73">
        <v>10000</v>
      </c>
      <c r="Y20" s="73">
        <v>10000</v>
      </c>
      <c r="Z20" s="73">
        <v>10000</v>
      </c>
      <c r="AA20" s="73">
        <v>10000</v>
      </c>
      <c r="AB20" s="73">
        <v>10000</v>
      </c>
      <c r="AC20" s="73">
        <v>10000</v>
      </c>
      <c r="AD20" s="74">
        <f t="shared" si="21"/>
        <v>110000</v>
      </c>
      <c r="AE20" s="24"/>
    </row>
    <row r="21" spans="1:31" ht="15" hidden="1" x14ac:dyDescent="0.25">
      <c r="A21" s="1105"/>
      <c r="B21" s="1" t="s">
        <v>8</v>
      </c>
      <c r="C21" s="3" t="s">
        <v>58</v>
      </c>
      <c r="D21" s="23">
        <f t="shared" si="24"/>
        <v>220000</v>
      </c>
      <c r="E21" s="23">
        <v>0</v>
      </c>
      <c r="F21" s="74">
        <f t="shared" si="19"/>
        <v>220000</v>
      </c>
      <c r="G21" s="73">
        <v>10000</v>
      </c>
      <c r="H21" s="73">
        <v>10000</v>
      </c>
      <c r="I21" s="73">
        <v>10000</v>
      </c>
      <c r="J21" s="73">
        <v>10000</v>
      </c>
      <c r="K21" s="73">
        <v>10000</v>
      </c>
      <c r="L21" s="73">
        <v>10000</v>
      </c>
      <c r="M21" s="73">
        <v>10000</v>
      </c>
      <c r="N21" s="73">
        <v>10000</v>
      </c>
      <c r="O21" s="73">
        <v>10000</v>
      </c>
      <c r="P21" s="73">
        <v>10000</v>
      </c>
      <c r="Q21" s="73">
        <v>10000</v>
      </c>
      <c r="R21" s="74">
        <f t="shared" si="20"/>
        <v>110000</v>
      </c>
      <c r="S21" s="96">
        <v>10000</v>
      </c>
      <c r="T21" s="73">
        <v>10000</v>
      </c>
      <c r="U21" s="73">
        <v>10000</v>
      </c>
      <c r="V21" s="73">
        <v>10000</v>
      </c>
      <c r="W21" s="73">
        <v>10000</v>
      </c>
      <c r="X21" s="73">
        <v>10000</v>
      </c>
      <c r="Y21" s="73">
        <v>10000</v>
      </c>
      <c r="Z21" s="73">
        <v>10000</v>
      </c>
      <c r="AA21" s="73">
        <v>10000</v>
      </c>
      <c r="AB21" s="73">
        <v>10000</v>
      </c>
      <c r="AC21" s="73">
        <v>10000</v>
      </c>
      <c r="AD21" s="74">
        <f t="shared" si="21"/>
        <v>110000</v>
      </c>
      <c r="AE21" s="24"/>
    </row>
    <row r="22" spans="1:31" ht="15" hidden="1" x14ac:dyDescent="0.25">
      <c r="A22" s="1105"/>
      <c r="B22" s="1" t="s">
        <v>9</v>
      </c>
      <c r="C22" s="3" t="s">
        <v>59</v>
      </c>
      <c r="D22" s="23">
        <f t="shared" si="24"/>
        <v>220000</v>
      </c>
      <c r="E22" s="23">
        <v>0</v>
      </c>
      <c r="F22" s="74">
        <f t="shared" si="19"/>
        <v>220000</v>
      </c>
      <c r="G22" s="73">
        <v>10000</v>
      </c>
      <c r="H22" s="73">
        <v>10000</v>
      </c>
      <c r="I22" s="73">
        <v>10000</v>
      </c>
      <c r="J22" s="73">
        <v>10000</v>
      </c>
      <c r="K22" s="73">
        <v>10000</v>
      </c>
      <c r="L22" s="73">
        <v>10000</v>
      </c>
      <c r="M22" s="73">
        <v>10000</v>
      </c>
      <c r="N22" s="73">
        <v>10000</v>
      </c>
      <c r="O22" s="73">
        <v>10000</v>
      </c>
      <c r="P22" s="73">
        <v>10000</v>
      </c>
      <c r="Q22" s="73">
        <v>10000</v>
      </c>
      <c r="R22" s="74">
        <f t="shared" si="20"/>
        <v>110000</v>
      </c>
      <c r="S22" s="96">
        <v>10000</v>
      </c>
      <c r="T22" s="73">
        <v>10000</v>
      </c>
      <c r="U22" s="73">
        <v>10000</v>
      </c>
      <c r="V22" s="73">
        <v>10000</v>
      </c>
      <c r="W22" s="73">
        <v>10000</v>
      </c>
      <c r="X22" s="73">
        <v>10000</v>
      </c>
      <c r="Y22" s="73">
        <v>10000</v>
      </c>
      <c r="Z22" s="73">
        <v>10000</v>
      </c>
      <c r="AA22" s="73">
        <v>10000</v>
      </c>
      <c r="AB22" s="73">
        <v>10000</v>
      </c>
      <c r="AC22" s="73">
        <v>10000</v>
      </c>
      <c r="AD22" s="74">
        <f t="shared" si="21"/>
        <v>110000</v>
      </c>
      <c r="AE22" s="24"/>
    </row>
    <row r="23" spans="1:31" ht="15" hidden="1" x14ac:dyDescent="0.25">
      <c r="A23" s="1105"/>
      <c r="B23" s="1" t="s">
        <v>10</v>
      </c>
      <c r="C23" s="3" t="s">
        <v>60</v>
      </c>
      <c r="D23" s="23">
        <f t="shared" si="24"/>
        <v>121000</v>
      </c>
      <c r="E23" s="23">
        <v>0</v>
      </c>
      <c r="F23" s="74">
        <f t="shared" si="19"/>
        <v>121000</v>
      </c>
      <c r="G23" s="73">
        <v>5500</v>
      </c>
      <c r="H23" s="73">
        <v>5500</v>
      </c>
      <c r="I23" s="73">
        <v>5500</v>
      </c>
      <c r="J23" s="73">
        <v>5500</v>
      </c>
      <c r="K23" s="73">
        <v>5500</v>
      </c>
      <c r="L23" s="73">
        <v>5500</v>
      </c>
      <c r="M23" s="73">
        <v>5500</v>
      </c>
      <c r="N23" s="73">
        <v>5500</v>
      </c>
      <c r="O23" s="73">
        <v>5500</v>
      </c>
      <c r="P23" s="73">
        <v>5500</v>
      </c>
      <c r="Q23" s="73">
        <v>5500</v>
      </c>
      <c r="R23" s="74">
        <f t="shared" si="20"/>
        <v>60500</v>
      </c>
      <c r="S23" s="96">
        <v>5500</v>
      </c>
      <c r="T23" s="73">
        <v>5500</v>
      </c>
      <c r="U23" s="73">
        <v>5500</v>
      </c>
      <c r="V23" s="73">
        <v>5500</v>
      </c>
      <c r="W23" s="73">
        <v>5500</v>
      </c>
      <c r="X23" s="73">
        <v>5500</v>
      </c>
      <c r="Y23" s="73">
        <v>5500</v>
      </c>
      <c r="Z23" s="73">
        <v>5500</v>
      </c>
      <c r="AA23" s="73">
        <v>5500</v>
      </c>
      <c r="AB23" s="73">
        <v>5500</v>
      </c>
      <c r="AC23" s="73">
        <v>5500</v>
      </c>
      <c r="AD23" s="74">
        <f t="shared" si="21"/>
        <v>60500</v>
      </c>
      <c r="AE23" s="24"/>
    </row>
    <row r="24" spans="1:31" ht="45" hidden="1" x14ac:dyDescent="0.25">
      <c r="A24" s="1105"/>
      <c r="B24" s="1" t="s">
        <v>67</v>
      </c>
      <c r="C24" s="3" t="s">
        <v>561</v>
      </c>
      <c r="D24" s="23">
        <f t="shared" si="24"/>
        <v>176880</v>
      </c>
      <c r="E24" s="23">
        <v>0</v>
      </c>
      <c r="F24" s="74">
        <f t="shared" si="19"/>
        <v>176880</v>
      </c>
      <c r="G24" s="73">
        <v>8040</v>
      </c>
      <c r="H24" s="73">
        <v>8040</v>
      </c>
      <c r="I24" s="73">
        <v>8040</v>
      </c>
      <c r="J24" s="73">
        <v>8040</v>
      </c>
      <c r="K24" s="73">
        <v>8040</v>
      </c>
      <c r="L24" s="73">
        <v>8040</v>
      </c>
      <c r="M24" s="73">
        <v>8040</v>
      </c>
      <c r="N24" s="73">
        <v>8040</v>
      </c>
      <c r="O24" s="73">
        <v>8040</v>
      </c>
      <c r="P24" s="73">
        <v>8040</v>
      </c>
      <c r="Q24" s="73">
        <v>8040</v>
      </c>
      <c r="R24" s="74">
        <f t="shared" si="20"/>
        <v>88440</v>
      </c>
      <c r="S24" s="96">
        <v>8040</v>
      </c>
      <c r="T24" s="73">
        <v>8040</v>
      </c>
      <c r="U24" s="73">
        <v>8040</v>
      </c>
      <c r="V24" s="73">
        <v>8040</v>
      </c>
      <c r="W24" s="73">
        <v>8040</v>
      </c>
      <c r="X24" s="73">
        <v>8040</v>
      </c>
      <c r="Y24" s="73">
        <v>8040</v>
      </c>
      <c r="Z24" s="73">
        <v>8040</v>
      </c>
      <c r="AA24" s="73">
        <v>8040</v>
      </c>
      <c r="AB24" s="73">
        <v>8040</v>
      </c>
      <c r="AC24" s="73">
        <v>8040</v>
      </c>
      <c r="AD24" s="74">
        <f t="shared" si="21"/>
        <v>88440</v>
      </c>
      <c r="AE24" s="24"/>
    </row>
    <row r="25" spans="1:31" ht="30" hidden="1" x14ac:dyDescent="0.25">
      <c r="A25" s="1105"/>
      <c r="B25" s="1" t="s">
        <v>68</v>
      </c>
      <c r="C25" s="2" t="s">
        <v>61</v>
      </c>
      <c r="D25" s="23">
        <f t="shared" si="24"/>
        <v>77000</v>
      </c>
      <c r="E25" s="23">
        <v>0</v>
      </c>
      <c r="F25" s="74">
        <f t="shared" si="19"/>
        <v>77000</v>
      </c>
      <c r="G25" s="73">
        <v>3500</v>
      </c>
      <c r="H25" s="73">
        <v>3500</v>
      </c>
      <c r="I25" s="73">
        <v>3500</v>
      </c>
      <c r="J25" s="73">
        <v>3500</v>
      </c>
      <c r="K25" s="73">
        <v>3500</v>
      </c>
      <c r="L25" s="73">
        <v>3500</v>
      </c>
      <c r="M25" s="73">
        <v>3500</v>
      </c>
      <c r="N25" s="73">
        <v>3500</v>
      </c>
      <c r="O25" s="73">
        <v>3500</v>
      </c>
      <c r="P25" s="73">
        <v>3500</v>
      </c>
      <c r="Q25" s="73">
        <v>3500</v>
      </c>
      <c r="R25" s="74">
        <f t="shared" si="20"/>
        <v>38500</v>
      </c>
      <c r="S25" s="96">
        <v>3500</v>
      </c>
      <c r="T25" s="73">
        <v>3500</v>
      </c>
      <c r="U25" s="73">
        <v>3500</v>
      </c>
      <c r="V25" s="73">
        <v>3500</v>
      </c>
      <c r="W25" s="73">
        <v>3500</v>
      </c>
      <c r="X25" s="73">
        <v>3500</v>
      </c>
      <c r="Y25" s="73">
        <v>3500</v>
      </c>
      <c r="Z25" s="73">
        <v>3500</v>
      </c>
      <c r="AA25" s="73">
        <v>3500</v>
      </c>
      <c r="AB25" s="73">
        <v>3500</v>
      </c>
      <c r="AC25" s="73">
        <v>3500</v>
      </c>
      <c r="AD25" s="74">
        <f t="shared" si="21"/>
        <v>38500</v>
      </c>
      <c r="AE25" s="24"/>
    </row>
    <row r="26" spans="1:31" ht="15" hidden="1" x14ac:dyDescent="0.25">
      <c r="A26" s="1105"/>
      <c r="B26" s="1" t="s">
        <v>69</v>
      </c>
      <c r="C26" s="2" t="s">
        <v>62</v>
      </c>
      <c r="D26" s="23">
        <f t="shared" si="24"/>
        <v>121000</v>
      </c>
      <c r="E26" s="23">
        <v>0</v>
      </c>
      <c r="F26" s="74">
        <f t="shared" si="19"/>
        <v>121000</v>
      </c>
      <c r="G26" s="73">
        <v>5500</v>
      </c>
      <c r="H26" s="73">
        <v>5500</v>
      </c>
      <c r="I26" s="73">
        <v>5500</v>
      </c>
      <c r="J26" s="73">
        <v>5500</v>
      </c>
      <c r="K26" s="73">
        <v>5500</v>
      </c>
      <c r="L26" s="73">
        <v>5500</v>
      </c>
      <c r="M26" s="73">
        <v>5500</v>
      </c>
      <c r="N26" s="73">
        <v>5500</v>
      </c>
      <c r="O26" s="73">
        <v>5500</v>
      </c>
      <c r="P26" s="73">
        <v>5500</v>
      </c>
      <c r="Q26" s="73">
        <v>5500</v>
      </c>
      <c r="R26" s="74">
        <f t="shared" si="20"/>
        <v>60500</v>
      </c>
      <c r="S26" s="96">
        <v>5500</v>
      </c>
      <c r="T26" s="73">
        <v>5500</v>
      </c>
      <c r="U26" s="73">
        <v>5500</v>
      </c>
      <c r="V26" s="73">
        <v>5500</v>
      </c>
      <c r="W26" s="73">
        <v>5500</v>
      </c>
      <c r="X26" s="73">
        <v>5500</v>
      </c>
      <c r="Y26" s="73">
        <v>5500</v>
      </c>
      <c r="Z26" s="73">
        <v>5500</v>
      </c>
      <c r="AA26" s="73">
        <v>5500</v>
      </c>
      <c r="AB26" s="73">
        <v>5500</v>
      </c>
      <c r="AC26" s="73">
        <v>5500</v>
      </c>
      <c r="AD26" s="74">
        <f t="shared" si="21"/>
        <v>60500</v>
      </c>
      <c r="AE26" s="24"/>
    </row>
    <row r="27" spans="1:31" ht="45" hidden="1" x14ac:dyDescent="0.25">
      <c r="A27" s="1105"/>
      <c r="B27" s="1" t="s">
        <v>70</v>
      </c>
      <c r="C27" s="3" t="s">
        <v>562</v>
      </c>
      <c r="D27" s="23">
        <f t="shared" si="24"/>
        <v>148760</v>
      </c>
      <c r="E27" s="23">
        <v>0</v>
      </c>
      <c r="F27" s="74">
        <f t="shared" si="19"/>
        <v>148760</v>
      </c>
      <c r="G27" s="73">
        <f>+'F1,F2,F3,F4 (Desglose)'!H45</f>
        <v>0</v>
      </c>
      <c r="H27" s="73">
        <f>+'F1,F2,F3,F4 (Desglose)'!I45</f>
        <v>0</v>
      </c>
      <c r="I27" s="73">
        <f>+'F1,F2,F3,F4 (Desglose)'!J45</f>
        <v>0</v>
      </c>
      <c r="J27" s="73">
        <f>+'F1,F2,F3,F4 (Desglose)'!K45</f>
        <v>4040</v>
      </c>
      <c r="K27" s="73">
        <f>+'F1,F2,F3,F4 (Desglose)'!L45</f>
        <v>8040</v>
      </c>
      <c r="L27" s="73">
        <f>+'F1,F2,F3,F4 (Desglose)'!M45</f>
        <v>8040</v>
      </c>
      <c r="M27" s="73">
        <f>+'F1,F2,F3,F4 (Desglose)'!N45</f>
        <v>8040</v>
      </c>
      <c r="N27" s="73">
        <f>+'F1,F2,F3,F4 (Desglose)'!O45</f>
        <v>8040</v>
      </c>
      <c r="O27" s="73">
        <f>+'F1,F2,F3,F4 (Desglose)'!P45</f>
        <v>8040</v>
      </c>
      <c r="P27" s="73">
        <f>+'F1,F2,F3,F4 (Desglose)'!Q45</f>
        <v>8040</v>
      </c>
      <c r="Q27" s="73">
        <f>+'F1,F2,F3,F4 (Desglose)'!R45</f>
        <v>8040</v>
      </c>
      <c r="R27" s="74">
        <f t="shared" si="20"/>
        <v>60320</v>
      </c>
      <c r="S27" s="96">
        <v>8040</v>
      </c>
      <c r="T27" s="73">
        <v>8040</v>
      </c>
      <c r="U27" s="73">
        <v>8040</v>
      </c>
      <c r="V27" s="73">
        <v>8040</v>
      </c>
      <c r="W27" s="73">
        <v>8040</v>
      </c>
      <c r="X27" s="73">
        <v>8040</v>
      </c>
      <c r="Y27" s="73">
        <v>8040</v>
      </c>
      <c r="Z27" s="73">
        <v>8040</v>
      </c>
      <c r="AA27" s="73">
        <v>8040</v>
      </c>
      <c r="AB27" s="73">
        <v>8040</v>
      </c>
      <c r="AC27" s="73">
        <v>8040</v>
      </c>
      <c r="AD27" s="74">
        <f t="shared" si="21"/>
        <v>88440</v>
      </c>
      <c r="AE27" s="24"/>
    </row>
    <row r="28" spans="1:31" ht="30" hidden="1" x14ac:dyDescent="0.25">
      <c r="A28" s="1105"/>
      <c r="B28" s="1" t="s">
        <v>71</v>
      </c>
      <c r="C28" s="3" t="s">
        <v>63</v>
      </c>
      <c r="D28" s="23">
        <f t="shared" si="24"/>
        <v>77000</v>
      </c>
      <c r="E28" s="23">
        <v>0</v>
      </c>
      <c r="F28" s="74">
        <f t="shared" si="19"/>
        <v>77000</v>
      </c>
      <c r="G28" s="73">
        <v>3500</v>
      </c>
      <c r="H28" s="73">
        <v>3500</v>
      </c>
      <c r="I28" s="73">
        <v>3500</v>
      </c>
      <c r="J28" s="73">
        <v>3500</v>
      </c>
      <c r="K28" s="73">
        <v>3500</v>
      </c>
      <c r="L28" s="73">
        <v>3500</v>
      </c>
      <c r="M28" s="73">
        <v>3500</v>
      </c>
      <c r="N28" s="73">
        <v>3500</v>
      </c>
      <c r="O28" s="73">
        <v>3500</v>
      </c>
      <c r="P28" s="73">
        <v>3500</v>
      </c>
      <c r="Q28" s="73">
        <v>3500</v>
      </c>
      <c r="R28" s="74">
        <f t="shared" si="20"/>
        <v>38500</v>
      </c>
      <c r="S28" s="96">
        <v>3500</v>
      </c>
      <c r="T28" s="73">
        <v>3500</v>
      </c>
      <c r="U28" s="73">
        <v>3500</v>
      </c>
      <c r="V28" s="73">
        <v>3500</v>
      </c>
      <c r="W28" s="73">
        <v>3500</v>
      </c>
      <c r="X28" s="73">
        <v>3500</v>
      </c>
      <c r="Y28" s="73">
        <v>3500</v>
      </c>
      <c r="Z28" s="73">
        <v>3500</v>
      </c>
      <c r="AA28" s="73">
        <v>3500</v>
      </c>
      <c r="AB28" s="73">
        <v>3500</v>
      </c>
      <c r="AC28" s="73">
        <v>3500</v>
      </c>
      <c r="AD28" s="74">
        <f t="shared" si="21"/>
        <v>38500</v>
      </c>
      <c r="AE28" s="24"/>
    </row>
    <row r="29" spans="1:31" s="4" customFormat="1" ht="30" hidden="1" x14ac:dyDescent="0.25">
      <c r="A29" s="1105"/>
      <c r="B29" s="1" t="s">
        <v>72</v>
      </c>
      <c r="C29" s="3" t="s">
        <v>64</v>
      </c>
      <c r="D29" s="23">
        <f t="shared" si="24"/>
        <v>121000</v>
      </c>
      <c r="E29" s="23">
        <v>0</v>
      </c>
      <c r="F29" s="74">
        <f t="shared" si="19"/>
        <v>121000</v>
      </c>
      <c r="G29" s="73">
        <v>5500</v>
      </c>
      <c r="H29" s="73">
        <v>5500</v>
      </c>
      <c r="I29" s="73">
        <v>5500</v>
      </c>
      <c r="J29" s="73">
        <v>5500</v>
      </c>
      <c r="K29" s="73">
        <v>5500</v>
      </c>
      <c r="L29" s="73">
        <v>5500</v>
      </c>
      <c r="M29" s="73">
        <v>5500</v>
      </c>
      <c r="N29" s="73">
        <v>5500</v>
      </c>
      <c r="O29" s="73">
        <v>5500</v>
      </c>
      <c r="P29" s="73">
        <v>5500</v>
      </c>
      <c r="Q29" s="73">
        <v>5500</v>
      </c>
      <c r="R29" s="74">
        <f t="shared" si="20"/>
        <v>60500</v>
      </c>
      <c r="S29" s="96">
        <v>5500</v>
      </c>
      <c r="T29" s="73">
        <v>5500</v>
      </c>
      <c r="U29" s="73">
        <v>5500</v>
      </c>
      <c r="V29" s="73">
        <v>5500</v>
      </c>
      <c r="W29" s="73">
        <v>5500</v>
      </c>
      <c r="X29" s="73">
        <v>5500</v>
      </c>
      <c r="Y29" s="73">
        <v>5500</v>
      </c>
      <c r="Z29" s="73">
        <v>5500</v>
      </c>
      <c r="AA29" s="73">
        <v>5500</v>
      </c>
      <c r="AB29" s="73">
        <v>5500</v>
      </c>
      <c r="AC29" s="73">
        <v>5500</v>
      </c>
      <c r="AD29" s="74">
        <f t="shared" si="21"/>
        <v>60500</v>
      </c>
      <c r="AE29" s="24"/>
    </row>
    <row r="30" spans="1:31" s="4" customFormat="1" ht="30" hidden="1" x14ac:dyDescent="0.25">
      <c r="A30" s="1105"/>
      <c r="B30" s="1" t="s">
        <v>73</v>
      </c>
      <c r="C30" s="3" t="s">
        <v>65</v>
      </c>
      <c r="D30" s="23">
        <f t="shared" si="24"/>
        <v>77000</v>
      </c>
      <c r="E30" s="23">
        <v>0</v>
      </c>
      <c r="F30" s="74">
        <f t="shared" si="19"/>
        <v>77000</v>
      </c>
      <c r="G30" s="73">
        <v>3500</v>
      </c>
      <c r="H30" s="73">
        <v>3500</v>
      </c>
      <c r="I30" s="73">
        <v>3500</v>
      </c>
      <c r="J30" s="73">
        <v>3500</v>
      </c>
      <c r="K30" s="73">
        <v>3500</v>
      </c>
      <c r="L30" s="73">
        <v>3500</v>
      </c>
      <c r="M30" s="73">
        <v>3500</v>
      </c>
      <c r="N30" s="73">
        <v>3500</v>
      </c>
      <c r="O30" s="73">
        <v>3500</v>
      </c>
      <c r="P30" s="73">
        <v>3500</v>
      </c>
      <c r="Q30" s="73">
        <v>3500</v>
      </c>
      <c r="R30" s="74">
        <f t="shared" si="20"/>
        <v>38500</v>
      </c>
      <c r="S30" s="96">
        <v>3500</v>
      </c>
      <c r="T30" s="73">
        <v>3500</v>
      </c>
      <c r="U30" s="73">
        <v>3500</v>
      </c>
      <c r="V30" s="73">
        <v>3500</v>
      </c>
      <c r="W30" s="73">
        <v>3500</v>
      </c>
      <c r="X30" s="73">
        <v>3500</v>
      </c>
      <c r="Y30" s="73">
        <v>3500</v>
      </c>
      <c r="Z30" s="73">
        <v>3500</v>
      </c>
      <c r="AA30" s="73">
        <v>3500</v>
      </c>
      <c r="AB30" s="73">
        <v>3500</v>
      </c>
      <c r="AC30" s="73">
        <v>3500</v>
      </c>
      <c r="AD30" s="74">
        <f t="shared" si="21"/>
        <v>38500</v>
      </c>
      <c r="AE30" s="24"/>
    </row>
    <row r="31" spans="1:31" s="4" customFormat="1" ht="15" hidden="1" x14ac:dyDescent="0.25">
      <c r="A31" s="1105"/>
      <c r="B31" s="1" t="s">
        <v>74</v>
      </c>
      <c r="C31" s="47" t="s">
        <v>66</v>
      </c>
      <c r="D31" s="23">
        <f t="shared" si="24"/>
        <v>190000</v>
      </c>
      <c r="E31" s="23">
        <v>0</v>
      </c>
      <c r="F31" s="74">
        <f t="shared" si="19"/>
        <v>190000</v>
      </c>
      <c r="G31" s="73">
        <f>+'F1,F2,F3,F4 (Desglose)'!H49</f>
        <v>0</v>
      </c>
      <c r="H31" s="73">
        <f>+'F1,F2,F3,F4 (Desglose)'!I49</f>
        <v>0</v>
      </c>
      <c r="I31" s="73">
        <f>+'F1,F2,F3,F4 (Desglose)'!J49</f>
        <v>0</v>
      </c>
      <c r="J31" s="73">
        <f>+'F1,F2,F3,F4 (Desglose)'!K49</f>
        <v>10000</v>
      </c>
      <c r="K31" s="73">
        <f>+'F1,F2,F3,F4 (Desglose)'!L49</f>
        <v>10000</v>
      </c>
      <c r="L31" s="73">
        <f>+'F1,F2,F3,F4 (Desglose)'!M49</f>
        <v>10000</v>
      </c>
      <c r="M31" s="73">
        <f>+'F1,F2,F3,F4 (Desglose)'!N49</f>
        <v>10000</v>
      </c>
      <c r="N31" s="73">
        <f>+'F1,F2,F3,F4 (Desglose)'!O49</f>
        <v>10000</v>
      </c>
      <c r="O31" s="73">
        <f>+'F1,F2,F3,F4 (Desglose)'!P49</f>
        <v>10000</v>
      </c>
      <c r="P31" s="73">
        <f>+'F1,F2,F3,F4 (Desglose)'!Q49</f>
        <v>10000</v>
      </c>
      <c r="Q31" s="73">
        <f>+'F1,F2,F3,F4 (Desglose)'!R49</f>
        <v>10000</v>
      </c>
      <c r="R31" s="74">
        <f t="shared" si="20"/>
        <v>80000</v>
      </c>
      <c r="S31" s="96">
        <v>10000</v>
      </c>
      <c r="T31" s="73">
        <v>10000</v>
      </c>
      <c r="U31" s="73">
        <v>10000</v>
      </c>
      <c r="V31" s="73">
        <v>10000</v>
      </c>
      <c r="W31" s="73">
        <v>10000</v>
      </c>
      <c r="X31" s="73">
        <v>10000</v>
      </c>
      <c r="Y31" s="73">
        <v>10000</v>
      </c>
      <c r="Z31" s="73">
        <v>10000</v>
      </c>
      <c r="AA31" s="73">
        <v>10000</v>
      </c>
      <c r="AB31" s="73">
        <v>10000</v>
      </c>
      <c r="AC31" s="73">
        <v>10000</v>
      </c>
      <c r="AD31" s="74">
        <f t="shared" si="21"/>
        <v>110000</v>
      </c>
      <c r="AE31" s="24"/>
    </row>
    <row r="32" spans="1:31" s="89" customFormat="1" ht="15.75" hidden="1" x14ac:dyDescent="0.25">
      <c r="A32" s="781" t="s">
        <v>788</v>
      </c>
      <c r="B32" s="782"/>
      <c r="C32" s="783"/>
      <c r="D32" s="784">
        <f>+D33</f>
        <v>0</v>
      </c>
      <c r="E32" s="784">
        <f>+E33</f>
        <v>180000</v>
      </c>
      <c r="F32" s="784">
        <f t="shared" ref="F32:F37" si="25">+D32+E32</f>
        <v>180000</v>
      </c>
      <c r="G32" s="784">
        <f>+G33</f>
        <v>0</v>
      </c>
      <c r="H32" s="784">
        <f t="shared" ref="H32:AD32" si="26">+H33</f>
        <v>7375</v>
      </c>
      <c r="I32" s="784">
        <f t="shared" si="26"/>
        <v>82625</v>
      </c>
      <c r="J32" s="784">
        <f t="shared" si="26"/>
        <v>90000</v>
      </c>
      <c r="K32" s="784">
        <f t="shared" si="26"/>
        <v>0</v>
      </c>
      <c r="L32" s="784">
        <f t="shared" si="26"/>
        <v>0</v>
      </c>
      <c r="M32" s="784">
        <f t="shared" si="26"/>
        <v>0</v>
      </c>
      <c r="N32" s="784">
        <f t="shared" si="26"/>
        <v>0</v>
      </c>
      <c r="O32" s="784">
        <f t="shared" si="26"/>
        <v>0</v>
      </c>
      <c r="P32" s="784">
        <f t="shared" si="26"/>
        <v>0</v>
      </c>
      <c r="Q32" s="784">
        <f t="shared" si="26"/>
        <v>0</v>
      </c>
      <c r="R32" s="784">
        <f t="shared" si="26"/>
        <v>180000</v>
      </c>
      <c r="S32" s="785">
        <f t="shared" si="26"/>
        <v>0</v>
      </c>
      <c r="T32" s="784">
        <f t="shared" si="26"/>
        <v>0</v>
      </c>
      <c r="U32" s="784">
        <f t="shared" si="26"/>
        <v>0</v>
      </c>
      <c r="V32" s="784">
        <f t="shared" si="26"/>
        <v>0</v>
      </c>
      <c r="W32" s="784">
        <f t="shared" si="26"/>
        <v>0</v>
      </c>
      <c r="X32" s="784">
        <f t="shared" si="26"/>
        <v>0</v>
      </c>
      <c r="Y32" s="784">
        <f t="shared" si="26"/>
        <v>0</v>
      </c>
      <c r="Z32" s="784">
        <f t="shared" si="26"/>
        <v>0</v>
      </c>
      <c r="AA32" s="784">
        <f t="shared" si="26"/>
        <v>0</v>
      </c>
      <c r="AB32" s="784">
        <f t="shared" si="26"/>
        <v>0</v>
      </c>
      <c r="AC32" s="784">
        <f t="shared" si="26"/>
        <v>0</v>
      </c>
      <c r="AD32" s="784">
        <f t="shared" si="26"/>
        <v>0</v>
      </c>
      <c r="AE32" s="782"/>
    </row>
    <row r="33" spans="1:31" s="89" customFormat="1" ht="15.75" hidden="1" x14ac:dyDescent="0.25">
      <c r="A33" s="1119"/>
      <c r="B33" s="1119"/>
      <c r="C33" s="1119"/>
      <c r="D33" s="786">
        <f>SUM(D34:D37)</f>
        <v>0</v>
      </c>
      <c r="E33" s="786">
        <f>SUM(E34:E37)</f>
        <v>180000</v>
      </c>
      <c r="F33" s="786">
        <f t="shared" si="25"/>
        <v>180000</v>
      </c>
      <c r="G33" s="786">
        <f>SUM(G34:G37)</f>
        <v>0</v>
      </c>
      <c r="H33" s="786">
        <f t="shared" ref="H33:AD33" si="27">SUM(H34:H37)</f>
        <v>7375</v>
      </c>
      <c r="I33" s="786">
        <f t="shared" si="27"/>
        <v>82625</v>
      </c>
      <c r="J33" s="786">
        <f t="shared" si="27"/>
        <v>90000</v>
      </c>
      <c r="K33" s="786">
        <f t="shared" si="27"/>
        <v>0</v>
      </c>
      <c r="L33" s="786">
        <f t="shared" si="27"/>
        <v>0</v>
      </c>
      <c r="M33" s="786">
        <f t="shared" si="27"/>
        <v>0</v>
      </c>
      <c r="N33" s="786">
        <f t="shared" si="27"/>
        <v>0</v>
      </c>
      <c r="O33" s="786">
        <f t="shared" si="27"/>
        <v>0</v>
      </c>
      <c r="P33" s="786">
        <f t="shared" si="27"/>
        <v>0</v>
      </c>
      <c r="Q33" s="786">
        <f t="shared" si="27"/>
        <v>0</v>
      </c>
      <c r="R33" s="786">
        <f t="shared" si="27"/>
        <v>180000</v>
      </c>
      <c r="S33" s="787">
        <f t="shared" si="27"/>
        <v>0</v>
      </c>
      <c r="T33" s="786">
        <f t="shared" si="27"/>
        <v>0</v>
      </c>
      <c r="U33" s="786">
        <f t="shared" si="27"/>
        <v>0</v>
      </c>
      <c r="V33" s="786">
        <f t="shared" si="27"/>
        <v>0</v>
      </c>
      <c r="W33" s="786">
        <f t="shared" si="27"/>
        <v>0</v>
      </c>
      <c r="X33" s="786">
        <f t="shared" si="27"/>
        <v>0</v>
      </c>
      <c r="Y33" s="786">
        <f t="shared" si="27"/>
        <v>0</v>
      </c>
      <c r="Z33" s="786">
        <f t="shared" si="27"/>
        <v>0</v>
      </c>
      <c r="AA33" s="786">
        <f t="shared" si="27"/>
        <v>0</v>
      </c>
      <c r="AB33" s="786">
        <f t="shared" si="27"/>
        <v>0</v>
      </c>
      <c r="AC33" s="786">
        <f t="shared" si="27"/>
        <v>0</v>
      </c>
      <c r="AD33" s="786">
        <f t="shared" si="27"/>
        <v>0</v>
      </c>
      <c r="AE33" s="788"/>
    </row>
    <row r="34" spans="1:31" s="62" customFormat="1" ht="15" hidden="1" x14ac:dyDescent="0.25">
      <c r="A34" s="1093" t="s">
        <v>789</v>
      </c>
      <c r="B34" s="60" t="s">
        <v>2</v>
      </c>
      <c r="C34" s="64" t="s">
        <v>22</v>
      </c>
      <c r="D34" s="79"/>
      <c r="E34" s="80">
        <f>+R34+AD34</f>
        <v>20000</v>
      </c>
      <c r="F34" s="236">
        <f t="shared" si="25"/>
        <v>20000</v>
      </c>
      <c r="G34" s="61">
        <f>+'F1,F2,F3,F4 (Desglose)'!H52</f>
        <v>0</v>
      </c>
      <c r="H34" s="61">
        <f>+'F1,F2,F3,F4 (Desglose)'!I52</f>
        <v>0</v>
      </c>
      <c r="I34" s="61">
        <f>+'F1,F2,F3,F4 (Desglose)'!J52</f>
        <v>0</v>
      </c>
      <c r="J34" s="61">
        <f>+'F1,F2,F3,F4 (Desglose)'!K52</f>
        <v>20000</v>
      </c>
      <c r="K34" s="61">
        <f>+'F1,F2,F3,F4 (Desglose)'!L52</f>
        <v>0</v>
      </c>
      <c r="L34" s="61">
        <f>+'F1,F2,F3,F4 (Desglose)'!M52</f>
        <v>0</v>
      </c>
      <c r="M34" s="61">
        <f>+'F1,F2,F3,F4 (Desglose)'!N52</f>
        <v>0</v>
      </c>
      <c r="N34" s="61">
        <f>+'F1,F2,F3,F4 (Desglose)'!O52</f>
        <v>0</v>
      </c>
      <c r="O34" s="61">
        <f>+'F1,F2,F3,F4 (Desglose)'!P52</f>
        <v>0</v>
      </c>
      <c r="P34" s="61">
        <f>+'F1,F2,F3,F4 (Desglose)'!Q52</f>
        <v>0</v>
      </c>
      <c r="Q34" s="61">
        <f>+'F1,F2,F3,F4 (Desglose)'!R52</f>
        <v>0</v>
      </c>
      <c r="R34" s="83">
        <f>SUM(G34:Q34)</f>
        <v>20000</v>
      </c>
      <c r="S34" s="61">
        <f>+'F1,F2,F3,F4 (Desglose)'!T52</f>
        <v>0</v>
      </c>
      <c r="T34" s="61">
        <f>+'F1,F2,F3,F4 (Desglose)'!U52</f>
        <v>0</v>
      </c>
      <c r="U34" s="61">
        <f>+'F1,F2,F3,F4 (Desglose)'!V52</f>
        <v>0</v>
      </c>
      <c r="V34" s="61">
        <f>+'F1,F2,F3,F4 (Desglose)'!W52</f>
        <v>0</v>
      </c>
      <c r="W34" s="61">
        <f>+'F1,F2,F3,F4 (Desglose)'!X52</f>
        <v>0</v>
      </c>
      <c r="X34" s="61">
        <f>+'F1,F2,F3,F4 (Desglose)'!Y52</f>
        <v>0</v>
      </c>
      <c r="Y34" s="61">
        <f>+'F1,F2,F3,F4 (Desglose)'!Z52</f>
        <v>0</v>
      </c>
      <c r="Z34" s="61">
        <f>+'F1,F2,F3,F4 (Desglose)'!AA52</f>
        <v>0</v>
      </c>
      <c r="AA34" s="61">
        <f>+'F1,F2,F3,F4 (Desglose)'!AB52</f>
        <v>0</v>
      </c>
      <c r="AB34" s="61">
        <f>+'F1,F2,F3,F4 (Desglose)'!AC52</f>
        <v>0</v>
      </c>
      <c r="AC34" s="61">
        <f>+'F1,F2,F3,F4 (Desglose)'!AD52</f>
        <v>0</v>
      </c>
      <c r="AD34" s="83">
        <f>SUM(S34:AC34)</f>
        <v>0</v>
      </c>
      <c r="AE34" s="41"/>
    </row>
    <row r="35" spans="1:31" s="62" customFormat="1" ht="15" hidden="1" x14ac:dyDescent="0.25">
      <c r="A35" s="1093"/>
      <c r="B35" s="63" t="s">
        <v>3</v>
      </c>
      <c r="C35" s="64" t="s">
        <v>23</v>
      </c>
      <c r="D35" s="79"/>
      <c r="E35" s="80">
        <f>+R35+AD35</f>
        <v>135000</v>
      </c>
      <c r="F35" s="236">
        <f t="shared" si="25"/>
        <v>135000</v>
      </c>
      <c r="G35" s="61">
        <f>+'F1,F2,F3,F4 (Desglose)'!H53</f>
        <v>0</v>
      </c>
      <c r="H35" s="61">
        <f>+'F1,F2,F3,F4 (Desglose)'!I53</f>
        <v>7375</v>
      </c>
      <c r="I35" s="61">
        <f>+'F1,F2,F3,F4 (Desglose)'!J53</f>
        <v>82625</v>
      </c>
      <c r="J35" s="61">
        <f>+'F1,F2,F3,F4 (Desglose)'!K53</f>
        <v>45000</v>
      </c>
      <c r="K35" s="61">
        <f>+'F1,F2,F3,F4 (Desglose)'!L53</f>
        <v>0</v>
      </c>
      <c r="L35" s="61">
        <f>+'F1,F2,F3,F4 (Desglose)'!M53</f>
        <v>0</v>
      </c>
      <c r="M35" s="61">
        <f>+'F1,F2,F3,F4 (Desglose)'!N53</f>
        <v>0</v>
      </c>
      <c r="N35" s="61">
        <f>+'F1,F2,F3,F4 (Desglose)'!O53</f>
        <v>0</v>
      </c>
      <c r="O35" s="61">
        <f>+'F1,F2,F3,F4 (Desglose)'!P53</f>
        <v>0</v>
      </c>
      <c r="P35" s="61">
        <f>+'F1,F2,F3,F4 (Desglose)'!Q53</f>
        <v>0</v>
      </c>
      <c r="Q35" s="61">
        <f>+'F1,F2,F3,F4 (Desglose)'!R53</f>
        <v>0</v>
      </c>
      <c r="R35" s="83">
        <f>SUM(G35:Q35)</f>
        <v>135000</v>
      </c>
      <c r="S35" s="61">
        <f>+'F1,F2,F3,F4 (Desglose)'!T53</f>
        <v>0</v>
      </c>
      <c r="T35" s="61">
        <f>+'F1,F2,F3,F4 (Desglose)'!U53</f>
        <v>0</v>
      </c>
      <c r="U35" s="61">
        <f>+'F1,F2,F3,F4 (Desglose)'!V53</f>
        <v>0</v>
      </c>
      <c r="V35" s="61">
        <f>+'F1,F2,F3,F4 (Desglose)'!W53</f>
        <v>0</v>
      </c>
      <c r="W35" s="61">
        <f>+'F1,F2,F3,F4 (Desglose)'!X53</f>
        <v>0</v>
      </c>
      <c r="X35" s="61">
        <f>+'F1,F2,F3,F4 (Desglose)'!Y53</f>
        <v>0</v>
      </c>
      <c r="Y35" s="61">
        <f>+'F1,F2,F3,F4 (Desglose)'!Z53</f>
        <v>0</v>
      </c>
      <c r="Z35" s="61">
        <f>+'F1,F2,F3,F4 (Desglose)'!AA53</f>
        <v>0</v>
      </c>
      <c r="AA35" s="61">
        <f>+'F1,F2,F3,F4 (Desglose)'!AB53</f>
        <v>0</v>
      </c>
      <c r="AB35" s="61">
        <f>+'F1,F2,F3,F4 (Desglose)'!AC53</f>
        <v>0</v>
      </c>
      <c r="AC35" s="61">
        <f>+'F1,F2,F3,F4 (Desglose)'!AD53</f>
        <v>0</v>
      </c>
      <c r="AD35" s="83">
        <f>SUM(S35:AC35)</f>
        <v>0</v>
      </c>
      <c r="AE35" s="41"/>
    </row>
    <row r="36" spans="1:31" s="62" customFormat="1" ht="30" hidden="1" x14ac:dyDescent="0.25">
      <c r="A36" s="1093"/>
      <c r="B36" s="63" t="s">
        <v>4</v>
      </c>
      <c r="C36" s="64" t="s">
        <v>25</v>
      </c>
      <c r="D36" s="79"/>
      <c r="E36" s="80">
        <f>+R36+AD36</f>
        <v>10000</v>
      </c>
      <c r="F36" s="236">
        <f t="shared" si="25"/>
        <v>10000</v>
      </c>
      <c r="G36" s="61">
        <f>+'F1,F2,F3,F4 (Desglose)'!H54</f>
        <v>0</v>
      </c>
      <c r="H36" s="61">
        <f>+'F1,F2,F3,F4 (Desglose)'!I54</f>
        <v>0</v>
      </c>
      <c r="I36" s="61">
        <f>+'F1,F2,F3,F4 (Desglose)'!J54</f>
        <v>0</v>
      </c>
      <c r="J36" s="61">
        <f>+'F1,F2,F3,F4 (Desglose)'!K54</f>
        <v>10000</v>
      </c>
      <c r="K36" s="61">
        <f>+'F1,F2,F3,F4 (Desglose)'!L54</f>
        <v>0</v>
      </c>
      <c r="L36" s="61">
        <f>+'F1,F2,F3,F4 (Desglose)'!M54</f>
        <v>0</v>
      </c>
      <c r="M36" s="61">
        <f>+'F1,F2,F3,F4 (Desglose)'!N54</f>
        <v>0</v>
      </c>
      <c r="N36" s="61">
        <f>+'F1,F2,F3,F4 (Desglose)'!O54</f>
        <v>0</v>
      </c>
      <c r="O36" s="61">
        <f>+'F1,F2,F3,F4 (Desglose)'!P54</f>
        <v>0</v>
      </c>
      <c r="P36" s="61">
        <f>+'F1,F2,F3,F4 (Desglose)'!Q54</f>
        <v>0</v>
      </c>
      <c r="Q36" s="61">
        <f>+'F1,F2,F3,F4 (Desglose)'!R54</f>
        <v>0</v>
      </c>
      <c r="R36" s="83">
        <f>SUM(G36:Q36)</f>
        <v>10000</v>
      </c>
      <c r="S36" s="61">
        <f>+'F1,F2,F3,F4 (Desglose)'!T54</f>
        <v>0</v>
      </c>
      <c r="T36" s="61">
        <f>+'F1,F2,F3,F4 (Desglose)'!U54</f>
        <v>0</v>
      </c>
      <c r="U36" s="61">
        <f>+'F1,F2,F3,F4 (Desglose)'!V54</f>
        <v>0</v>
      </c>
      <c r="V36" s="61">
        <f>+'F1,F2,F3,F4 (Desglose)'!W54</f>
        <v>0</v>
      </c>
      <c r="W36" s="61">
        <f>+'F1,F2,F3,F4 (Desglose)'!X54</f>
        <v>0</v>
      </c>
      <c r="X36" s="61">
        <f>+'F1,F2,F3,F4 (Desglose)'!Y54</f>
        <v>0</v>
      </c>
      <c r="Y36" s="61">
        <f>+'F1,F2,F3,F4 (Desglose)'!Z54</f>
        <v>0</v>
      </c>
      <c r="Z36" s="61">
        <f>+'F1,F2,F3,F4 (Desglose)'!AA54</f>
        <v>0</v>
      </c>
      <c r="AA36" s="61">
        <f>+'F1,F2,F3,F4 (Desglose)'!AB54</f>
        <v>0</v>
      </c>
      <c r="AB36" s="61">
        <f>+'F1,F2,F3,F4 (Desglose)'!AC54</f>
        <v>0</v>
      </c>
      <c r="AC36" s="61">
        <f>+'F1,F2,F3,F4 (Desglose)'!AD54</f>
        <v>0</v>
      </c>
      <c r="AD36" s="83">
        <f>SUM(S36:AC36)</f>
        <v>0</v>
      </c>
      <c r="AE36" s="41"/>
    </row>
    <row r="37" spans="1:31" s="62" customFormat="1" ht="15" hidden="1" x14ac:dyDescent="0.25">
      <c r="A37" s="1093"/>
      <c r="B37" s="63" t="s">
        <v>8</v>
      </c>
      <c r="C37" s="64" t="s">
        <v>24</v>
      </c>
      <c r="D37" s="79"/>
      <c r="E37" s="80">
        <f>+R37+AD37</f>
        <v>15000</v>
      </c>
      <c r="F37" s="236">
        <f t="shared" si="25"/>
        <v>15000</v>
      </c>
      <c r="G37" s="61">
        <f>+'F1,F2,F3,F4 (Desglose)'!H55</f>
        <v>0</v>
      </c>
      <c r="H37" s="61">
        <f>+'F1,F2,F3,F4 (Desglose)'!I55</f>
        <v>0</v>
      </c>
      <c r="I37" s="61">
        <f>+'F1,F2,F3,F4 (Desglose)'!J55</f>
        <v>0</v>
      </c>
      <c r="J37" s="61">
        <f>+'F1,F2,F3,F4 (Desglose)'!K55</f>
        <v>15000</v>
      </c>
      <c r="K37" s="61">
        <f>+'F1,F2,F3,F4 (Desglose)'!L55</f>
        <v>0</v>
      </c>
      <c r="L37" s="61">
        <f>+'F1,F2,F3,F4 (Desglose)'!M55</f>
        <v>0</v>
      </c>
      <c r="M37" s="61">
        <f>+'F1,F2,F3,F4 (Desglose)'!N55</f>
        <v>0</v>
      </c>
      <c r="N37" s="61">
        <f>+'F1,F2,F3,F4 (Desglose)'!O55</f>
        <v>0</v>
      </c>
      <c r="O37" s="61">
        <f>+'F1,F2,F3,F4 (Desglose)'!P55</f>
        <v>0</v>
      </c>
      <c r="P37" s="61">
        <f>+'F1,F2,F3,F4 (Desglose)'!Q55</f>
        <v>0</v>
      </c>
      <c r="Q37" s="61">
        <f>+'F1,F2,F3,F4 (Desglose)'!R55</f>
        <v>0</v>
      </c>
      <c r="R37" s="83">
        <f>SUM(G37:Q37)</f>
        <v>15000</v>
      </c>
      <c r="S37" s="61">
        <f>+'F1,F2,F3,F4 (Desglose)'!T55</f>
        <v>0</v>
      </c>
      <c r="T37" s="61">
        <f>+'F1,F2,F3,F4 (Desglose)'!U55</f>
        <v>0</v>
      </c>
      <c r="U37" s="61">
        <f>+'F1,F2,F3,F4 (Desglose)'!V55</f>
        <v>0</v>
      </c>
      <c r="V37" s="61">
        <f>+'F1,F2,F3,F4 (Desglose)'!W55</f>
        <v>0</v>
      </c>
      <c r="W37" s="61">
        <f>+'F1,F2,F3,F4 (Desglose)'!X55</f>
        <v>0</v>
      </c>
      <c r="X37" s="61">
        <f>+'F1,F2,F3,F4 (Desglose)'!Y55</f>
        <v>0</v>
      </c>
      <c r="Y37" s="61">
        <f>+'F1,F2,F3,F4 (Desglose)'!Z55</f>
        <v>0</v>
      </c>
      <c r="Z37" s="61">
        <f>+'F1,F2,F3,F4 (Desglose)'!AA55</f>
        <v>0</v>
      </c>
      <c r="AA37" s="61">
        <f>+'F1,F2,F3,F4 (Desglose)'!AB55</f>
        <v>0</v>
      </c>
      <c r="AB37" s="61">
        <f>+'F1,F2,F3,F4 (Desglose)'!AC55</f>
        <v>0</v>
      </c>
      <c r="AC37" s="61">
        <f>+'F1,F2,F3,F4 (Desglose)'!AD55</f>
        <v>0</v>
      </c>
      <c r="AD37" s="83">
        <f>SUM(S37:AC37)</f>
        <v>0</v>
      </c>
      <c r="AE37" s="24"/>
    </row>
    <row r="38" spans="1:31" s="89" customFormat="1" ht="28.5" customHeight="1" x14ac:dyDescent="0.25">
      <c r="A38" s="126" t="s">
        <v>0</v>
      </c>
      <c r="B38" s="87"/>
      <c r="C38" s="127"/>
      <c r="D38" s="128">
        <f>+D40</f>
        <v>2921640.6</v>
      </c>
      <c r="E38" s="128">
        <f t="shared" ref="E38:AD38" si="28">+E40</f>
        <v>0</v>
      </c>
      <c r="F38" s="128">
        <f t="shared" si="28"/>
        <v>2921640.6</v>
      </c>
      <c r="G38" s="128">
        <f t="shared" si="28"/>
        <v>85567.06</v>
      </c>
      <c r="H38" s="128">
        <f t="shared" si="28"/>
        <v>114755.89</v>
      </c>
      <c r="I38" s="128">
        <f t="shared" si="28"/>
        <v>208414.6</v>
      </c>
      <c r="J38" s="128">
        <f t="shared" si="28"/>
        <v>136974</v>
      </c>
      <c r="K38" s="128">
        <f t="shared" si="28"/>
        <v>90974</v>
      </c>
      <c r="L38" s="128">
        <f t="shared" si="28"/>
        <v>117974</v>
      </c>
      <c r="M38" s="128">
        <f t="shared" si="28"/>
        <v>96274</v>
      </c>
      <c r="N38" s="128">
        <f t="shared" si="28"/>
        <v>174201.09</v>
      </c>
      <c r="O38" s="128">
        <f t="shared" si="28"/>
        <v>119274</v>
      </c>
      <c r="P38" s="128">
        <f t="shared" si="28"/>
        <v>155626.04999999999</v>
      </c>
      <c r="Q38" s="128">
        <f t="shared" si="28"/>
        <v>145816.91</v>
      </c>
      <c r="R38" s="128">
        <f t="shared" si="28"/>
        <v>1445851.6</v>
      </c>
      <c r="S38" s="128">
        <f t="shared" si="28"/>
        <v>79399</v>
      </c>
      <c r="T38" s="128">
        <f t="shared" si="28"/>
        <v>216399</v>
      </c>
      <c r="U38" s="128">
        <f t="shared" si="28"/>
        <v>124399</v>
      </c>
      <c r="V38" s="128">
        <f t="shared" si="28"/>
        <v>104399</v>
      </c>
      <c r="W38" s="128">
        <f t="shared" si="28"/>
        <v>158799</v>
      </c>
      <c r="X38" s="128">
        <f t="shared" si="28"/>
        <v>114399</v>
      </c>
      <c r="Y38" s="128">
        <f t="shared" si="28"/>
        <v>124399</v>
      </c>
      <c r="Z38" s="128">
        <f t="shared" si="28"/>
        <v>138399</v>
      </c>
      <c r="AA38" s="128">
        <f t="shared" si="28"/>
        <v>128399</v>
      </c>
      <c r="AB38" s="128">
        <f t="shared" si="28"/>
        <v>165399</v>
      </c>
      <c r="AC38" s="128">
        <f t="shared" si="28"/>
        <v>121399</v>
      </c>
      <c r="AD38" s="128">
        <f t="shared" si="28"/>
        <v>1475789</v>
      </c>
      <c r="AE38" s="87"/>
    </row>
    <row r="39" spans="1:31" s="4" customFormat="1" ht="15" x14ac:dyDescent="0.25">
      <c r="A39" s="44" t="s">
        <v>1</v>
      </c>
      <c r="B39" s="44"/>
      <c r="C39" s="2"/>
      <c r="D39" s="65" t="e">
        <f>+S39+#REF!</f>
        <v>#REF!</v>
      </c>
      <c r="E39" s="65" t="e">
        <f>+T39+D39</f>
        <v>#REF!</v>
      </c>
      <c r="F39" s="56" t="e">
        <f t="shared" si="19"/>
        <v>#REF!</v>
      </c>
      <c r="G39" s="68"/>
      <c r="H39" s="68"/>
      <c r="I39" s="68"/>
      <c r="J39" s="68"/>
      <c r="K39" s="68"/>
      <c r="L39" s="68"/>
      <c r="M39" s="68"/>
      <c r="N39" s="68"/>
      <c r="O39" s="68"/>
      <c r="P39" s="68"/>
      <c r="Q39" s="68"/>
      <c r="R39" s="56"/>
      <c r="S39" s="93"/>
      <c r="T39" s="68"/>
      <c r="U39" s="68"/>
      <c r="V39" s="68"/>
      <c r="W39" s="68"/>
      <c r="X39" s="68"/>
      <c r="Y39" s="68"/>
      <c r="Z39" s="68"/>
      <c r="AA39" s="68"/>
      <c r="AB39" s="68"/>
      <c r="AC39" s="68"/>
      <c r="AD39" s="56"/>
      <c r="AE39" s="26"/>
    </row>
    <row r="40" spans="1:31" x14ac:dyDescent="0.3">
      <c r="A40" s="1112" t="s">
        <v>386</v>
      </c>
      <c r="B40" s="1112"/>
      <c r="C40" s="1112"/>
      <c r="D40" s="69">
        <f>+D41</f>
        <v>2921640.6</v>
      </c>
      <c r="E40" s="69">
        <f t="shared" ref="E40:I40" si="29">+E41</f>
        <v>0</v>
      </c>
      <c r="F40" s="69">
        <f t="shared" si="29"/>
        <v>2921640.6</v>
      </c>
      <c r="G40" s="69">
        <f t="shared" si="29"/>
        <v>85567.06</v>
      </c>
      <c r="H40" s="69">
        <f t="shared" si="29"/>
        <v>114755.89</v>
      </c>
      <c r="I40" s="69">
        <f t="shared" si="29"/>
        <v>208414.6</v>
      </c>
      <c r="J40" s="69">
        <f t="shared" ref="J40" si="30">+J41</f>
        <v>136974</v>
      </c>
      <c r="K40" s="69">
        <f t="shared" ref="K40" si="31">+K41</f>
        <v>90974</v>
      </c>
      <c r="L40" s="69">
        <f t="shared" ref="L40" si="32">+L41</f>
        <v>117974</v>
      </c>
      <c r="M40" s="69">
        <f t="shared" ref="M40:N40" si="33">+M41</f>
        <v>96274</v>
      </c>
      <c r="N40" s="69">
        <f t="shared" si="33"/>
        <v>174201.09</v>
      </c>
      <c r="O40" s="69">
        <f t="shared" ref="O40" si="34">+O41</f>
        <v>119274</v>
      </c>
      <c r="P40" s="69">
        <f t="shared" ref="P40" si="35">+P41</f>
        <v>155626.04999999999</v>
      </c>
      <c r="Q40" s="69">
        <f t="shared" ref="Q40" si="36">+Q41</f>
        <v>145816.91</v>
      </c>
      <c r="R40" s="69">
        <f t="shared" ref="R40:S40" si="37">+R41</f>
        <v>1445851.6</v>
      </c>
      <c r="S40" s="69">
        <f t="shared" si="37"/>
        <v>79399</v>
      </c>
      <c r="T40" s="69">
        <f t="shared" ref="T40" si="38">+T41</f>
        <v>216399</v>
      </c>
      <c r="U40" s="69">
        <f t="shared" ref="U40" si="39">+U41</f>
        <v>124399</v>
      </c>
      <c r="V40" s="69">
        <f t="shared" ref="V40" si="40">+V41</f>
        <v>104399</v>
      </c>
      <c r="W40" s="69">
        <f t="shared" ref="W40:X40" si="41">+W41</f>
        <v>158799</v>
      </c>
      <c r="X40" s="69">
        <f t="shared" si="41"/>
        <v>114399</v>
      </c>
      <c r="Y40" s="69">
        <f t="shared" ref="Y40" si="42">+Y41</f>
        <v>124399</v>
      </c>
      <c r="Z40" s="69">
        <f t="shared" ref="Z40" si="43">+Z41</f>
        <v>138399</v>
      </c>
      <c r="AA40" s="69">
        <f t="shared" ref="AA40" si="44">+AA41</f>
        <v>128399</v>
      </c>
      <c r="AB40" s="69">
        <f t="shared" ref="AB40:AC40" si="45">+AB41</f>
        <v>165399</v>
      </c>
      <c r="AC40" s="69">
        <f t="shared" si="45"/>
        <v>121399</v>
      </c>
      <c r="AD40" s="69">
        <f t="shared" ref="AD40" si="46">+AD41</f>
        <v>1475789</v>
      </c>
      <c r="AE40" s="20"/>
    </row>
    <row r="41" spans="1:31" ht="15" x14ac:dyDescent="0.25">
      <c r="A41" s="50"/>
      <c r="B41" s="45"/>
      <c r="C41" s="105"/>
      <c r="D41" s="71">
        <f>+D42+D46+D52+D58+D61</f>
        <v>2921640.6</v>
      </c>
      <c r="E41" s="71">
        <f>+E42+E46+E52+E58+E61</f>
        <v>0</v>
      </c>
      <c r="F41" s="71">
        <f t="shared" si="19"/>
        <v>2921640.6</v>
      </c>
      <c r="G41" s="71">
        <f>+G42+G46+G52+G58+G61</f>
        <v>85567.06</v>
      </c>
      <c r="H41" s="71">
        <f t="shared" ref="H41:Q41" si="47">+H42+H46+H52+H58+H61</f>
        <v>114755.89</v>
      </c>
      <c r="I41" s="71">
        <f t="shared" si="47"/>
        <v>208414.6</v>
      </c>
      <c r="J41" s="71">
        <f t="shared" si="47"/>
        <v>136974</v>
      </c>
      <c r="K41" s="71">
        <f t="shared" si="47"/>
        <v>90974</v>
      </c>
      <c r="L41" s="71">
        <f t="shared" si="47"/>
        <v>117974</v>
      </c>
      <c r="M41" s="71">
        <f t="shared" si="47"/>
        <v>96274</v>
      </c>
      <c r="N41" s="71">
        <f t="shared" si="47"/>
        <v>174201.09</v>
      </c>
      <c r="O41" s="71">
        <f t="shared" si="47"/>
        <v>119274</v>
      </c>
      <c r="P41" s="71">
        <f t="shared" si="47"/>
        <v>155626.04999999999</v>
      </c>
      <c r="Q41" s="71">
        <f t="shared" si="47"/>
        <v>145816.91</v>
      </c>
      <c r="R41" s="71">
        <f t="shared" ref="R41:AD41" si="48">+R42+R46+R52+R58+R61</f>
        <v>1445851.6</v>
      </c>
      <c r="S41" s="95">
        <f t="shared" si="48"/>
        <v>79399</v>
      </c>
      <c r="T41" s="71">
        <f t="shared" si="48"/>
        <v>216399</v>
      </c>
      <c r="U41" s="71">
        <f t="shared" si="48"/>
        <v>124399</v>
      </c>
      <c r="V41" s="71">
        <f t="shared" si="48"/>
        <v>104399</v>
      </c>
      <c r="W41" s="71">
        <f t="shared" si="48"/>
        <v>158799</v>
      </c>
      <c r="X41" s="71">
        <f t="shared" si="48"/>
        <v>114399</v>
      </c>
      <c r="Y41" s="71">
        <f t="shared" si="48"/>
        <v>124399</v>
      </c>
      <c r="Z41" s="71">
        <f t="shared" si="48"/>
        <v>138399</v>
      </c>
      <c r="AA41" s="71">
        <f t="shared" si="48"/>
        <v>128399</v>
      </c>
      <c r="AB41" s="71">
        <f t="shared" si="48"/>
        <v>165399</v>
      </c>
      <c r="AC41" s="71">
        <f t="shared" si="48"/>
        <v>121399</v>
      </c>
      <c r="AD41" s="71">
        <f t="shared" si="48"/>
        <v>1475789</v>
      </c>
      <c r="AE41" s="21"/>
    </row>
    <row r="42" spans="1:31" x14ac:dyDescent="0.3">
      <c r="A42" s="1075" t="s">
        <v>5</v>
      </c>
      <c r="B42" s="43"/>
      <c r="C42" s="106"/>
      <c r="D42" s="75">
        <f>SUM(D43:D45)</f>
        <v>869000</v>
      </c>
      <c r="E42" s="75">
        <f>SUM(E43:E44)</f>
        <v>0</v>
      </c>
      <c r="F42" s="75">
        <f t="shared" si="19"/>
        <v>869000</v>
      </c>
      <c r="G42" s="75">
        <f>SUM(G43:G45)</f>
        <v>39500</v>
      </c>
      <c r="H42" s="75">
        <f t="shared" ref="H42:AD42" si="49">SUM(H43:H45)</f>
        <v>39500</v>
      </c>
      <c r="I42" s="75">
        <f t="shared" si="49"/>
        <v>39500</v>
      </c>
      <c r="J42" s="75">
        <f t="shared" si="49"/>
        <v>39500</v>
      </c>
      <c r="K42" s="75">
        <f t="shared" si="49"/>
        <v>39500</v>
      </c>
      <c r="L42" s="75">
        <f t="shared" si="49"/>
        <v>39500</v>
      </c>
      <c r="M42" s="75">
        <f t="shared" si="49"/>
        <v>39500</v>
      </c>
      <c r="N42" s="75">
        <f t="shared" si="49"/>
        <v>39500</v>
      </c>
      <c r="O42" s="75">
        <f t="shared" si="49"/>
        <v>39500</v>
      </c>
      <c r="P42" s="75">
        <f t="shared" si="49"/>
        <v>39500</v>
      </c>
      <c r="Q42" s="75">
        <f t="shared" si="49"/>
        <v>39500</v>
      </c>
      <c r="R42" s="75">
        <f t="shared" si="49"/>
        <v>434500</v>
      </c>
      <c r="S42" s="75">
        <f t="shared" si="49"/>
        <v>39500</v>
      </c>
      <c r="T42" s="75">
        <f t="shared" si="49"/>
        <v>39500</v>
      </c>
      <c r="U42" s="75">
        <f t="shared" si="49"/>
        <v>39500</v>
      </c>
      <c r="V42" s="75">
        <f t="shared" si="49"/>
        <v>39500</v>
      </c>
      <c r="W42" s="75">
        <f t="shared" si="49"/>
        <v>39500</v>
      </c>
      <c r="X42" s="75">
        <f t="shared" si="49"/>
        <v>39500</v>
      </c>
      <c r="Y42" s="75">
        <f t="shared" si="49"/>
        <v>39500</v>
      </c>
      <c r="Z42" s="75">
        <f t="shared" si="49"/>
        <v>39500</v>
      </c>
      <c r="AA42" s="75">
        <f t="shared" si="49"/>
        <v>39500</v>
      </c>
      <c r="AB42" s="75">
        <f t="shared" si="49"/>
        <v>39500</v>
      </c>
      <c r="AC42" s="75">
        <f t="shared" si="49"/>
        <v>39500</v>
      </c>
      <c r="AD42" s="75">
        <f t="shared" si="49"/>
        <v>434500</v>
      </c>
      <c r="AE42" s="25"/>
    </row>
    <row r="43" spans="1:31" s="4" customFormat="1" x14ac:dyDescent="0.3">
      <c r="A43" s="1076"/>
      <c r="B43" s="38" t="s">
        <v>2</v>
      </c>
      <c r="C43" s="2" t="s">
        <v>81</v>
      </c>
      <c r="D43" s="23">
        <f>+R43+AD43</f>
        <v>286000</v>
      </c>
      <c r="E43" s="23"/>
      <c r="F43" s="74">
        <f t="shared" si="19"/>
        <v>286000</v>
      </c>
      <c r="G43" s="73">
        <f>+'F1,F2,F3,F4 (Desglose)'!H61</f>
        <v>13000</v>
      </c>
      <c r="H43" s="73">
        <f>+'F1,F2,F3,F4 (Desglose)'!I61</f>
        <v>13000</v>
      </c>
      <c r="I43" s="73">
        <f>+'F1,F2,F3,F4 (Desglose)'!J61</f>
        <v>13000</v>
      </c>
      <c r="J43" s="73">
        <f>+'F1,F2,F3,F4 (Desglose)'!K61</f>
        <v>13000</v>
      </c>
      <c r="K43" s="73">
        <f>+'F1,F2,F3,F4 (Desglose)'!L61</f>
        <v>13000</v>
      </c>
      <c r="L43" s="73">
        <f>+'F1,F2,F3,F4 (Desglose)'!M61</f>
        <v>13000</v>
      </c>
      <c r="M43" s="73">
        <f>+'F1,F2,F3,F4 (Desglose)'!N61</f>
        <v>13000</v>
      </c>
      <c r="N43" s="73">
        <f>+'F1,F2,F3,F4 (Desglose)'!O61</f>
        <v>13000</v>
      </c>
      <c r="O43" s="73">
        <f>+'F1,F2,F3,F4 (Desglose)'!P61</f>
        <v>13000</v>
      </c>
      <c r="P43" s="73">
        <f>+'F1,F2,F3,F4 (Desglose)'!Q61</f>
        <v>13000</v>
      </c>
      <c r="Q43" s="73">
        <f>+'F1,F2,F3,F4 (Desglose)'!R61</f>
        <v>13000</v>
      </c>
      <c r="R43" s="241">
        <f>SUM(G43:Q43)</f>
        <v>143000</v>
      </c>
      <c r="S43" s="73">
        <f>+'F1,F2,F3,F4 (Desglose)'!T61</f>
        <v>13000</v>
      </c>
      <c r="T43" s="73">
        <f>+'F1,F2,F3,F4 (Desglose)'!U61</f>
        <v>13000</v>
      </c>
      <c r="U43" s="73">
        <f>+'F1,F2,F3,F4 (Desglose)'!V61</f>
        <v>13000</v>
      </c>
      <c r="V43" s="73">
        <f>+'F1,F2,F3,F4 (Desglose)'!W61</f>
        <v>13000</v>
      </c>
      <c r="W43" s="73">
        <f>+'F1,F2,F3,F4 (Desglose)'!X61</f>
        <v>13000</v>
      </c>
      <c r="X43" s="73">
        <f>+'F1,F2,F3,F4 (Desglose)'!Y61</f>
        <v>13000</v>
      </c>
      <c r="Y43" s="73">
        <f>+'F1,F2,F3,F4 (Desglose)'!Z61</f>
        <v>13000</v>
      </c>
      <c r="Z43" s="73">
        <f>+'F1,F2,F3,F4 (Desglose)'!AA61</f>
        <v>13000</v>
      </c>
      <c r="AA43" s="73">
        <f>+'F1,F2,F3,F4 (Desglose)'!AB61</f>
        <v>13000</v>
      </c>
      <c r="AB43" s="73">
        <f>+'F1,F2,F3,F4 (Desglose)'!AC61</f>
        <v>13000</v>
      </c>
      <c r="AC43" s="73">
        <f>+'F1,F2,F3,F4 (Desglose)'!AD61</f>
        <v>13000</v>
      </c>
      <c r="AD43" s="241">
        <f>SUM(S43:AC43)</f>
        <v>143000</v>
      </c>
      <c r="AE43" s="24"/>
    </row>
    <row r="44" spans="1:31" s="4" customFormat="1" x14ac:dyDescent="0.3">
      <c r="A44" s="1076"/>
      <c r="B44" s="38" t="s">
        <v>3</v>
      </c>
      <c r="C44" s="2" t="s">
        <v>388</v>
      </c>
      <c r="D44" s="23">
        <f>+R44+AD44</f>
        <v>121000</v>
      </c>
      <c r="E44" s="23"/>
      <c r="F44" s="74">
        <f t="shared" si="19"/>
        <v>121000</v>
      </c>
      <c r="G44" s="73">
        <f>+'F1,F2,F3,F4 (Desglose)'!H62</f>
        <v>5500</v>
      </c>
      <c r="H44" s="73">
        <f>+'F1,F2,F3,F4 (Desglose)'!I62</f>
        <v>5500</v>
      </c>
      <c r="I44" s="73">
        <f>+'F1,F2,F3,F4 (Desglose)'!J62</f>
        <v>5500</v>
      </c>
      <c r="J44" s="73">
        <f>+'F1,F2,F3,F4 (Desglose)'!K62</f>
        <v>5500</v>
      </c>
      <c r="K44" s="73">
        <f>+'F1,F2,F3,F4 (Desglose)'!L62</f>
        <v>5500</v>
      </c>
      <c r="L44" s="73">
        <f>+'F1,F2,F3,F4 (Desglose)'!M62</f>
        <v>5500</v>
      </c>
      <c r="M44" s="73">
        <f>+'F1,F2,F3,F4 (Desglose)'!N62</f>
        <v>5500</v>
      </c>
      <c r="N44" s="73">
        <f>+'F1,F2,F3,F4 (Desglose)'!O62</f>
        <v>5500</v>
      </c>
      <c r="O44" s="73">
        <f>+'F1,F2,F3,F4 (Desglose)'!P62</f>
        <v>5500</v>
      </c>
      <c r="P44" s="73">
        <f>+'F1,F2,F3,F4 (Desglose)'!Q62</f>
        <v>5500</v>
      </c>
      <c r="Q44" s="73">
        <f>+'F1,F2,F3,F4 (Desglose)'!R62</f>
        <v>5500</v>
      </c>
      <c r="R44" s="241">
        <f>SUM(G44:Q44)</f>
        <v>60500</v>
      </c>
      <c r="S44" s="73">
        <f>+'F1,F2,F3,F4 (Desglose)'!T62</f>
        <v>5500</v>
      </c>
      <c r="T44" s="73">
        <f>+'F1,F2,F3,F4 (Desglose)'!U62</f>
        <v>5500</v>
      </c>
      <c r="U44" s="73">
        <f>+'F1,F2,F3,F4 (Desglose)'!V62</f>
        <v>5500</v>
      </c>
      <c r="V44" s="73">
        <f>+'F1,F2,F3,F4 (Desglose)'!W62</f>
        <v>5500</v>
      </c>
      <c r="W44" s="73">
        <f>+'F1,F2,F3,F4 (Desglose)'!X62</f>
        <v>5500</v>
      </c>
      <c r="X44" s="73">
        <f>+'F1,F2,F3,F4 (Desglose)'!Y62</f>
        <v>5500</v>
      </c>
      <c r="Y44" s="73">
        <f>+'F1,F2,F3,F4 (Desglose)'!Z62</f>
        <v>5500</v>
      </c>
      <c r="Z44" s="73">
        <f>+'F1,F2,F3,F4 (Desglose)'!AA62</f>
        <v>5500</v>
      </c>
      <c r="AA44" s="73">
        <f>+'F1,F2,F3,F4 (Desglose)'!AB62</f>
        <v>5500</v>
      </c>
      <c r="AB44" s="73">
        <f>+'F1,F2,F3,F4 (Desglose)'!AC62</f>
        <v>5500</v>
      </c>
      <c r="AC44" s="73">
        <f>+'F1,F2,F3,F4 (Desglose)'!AD62</f>
        <v>5500</v>
      </c>
      <c r="AD44" s="241">
        <f>SUM(S44:AC44)</f>
        <v>60500</v>
      </c>
      <c r="AE44" s="24"/>
    </row>
    <row r="45" spans="1:31" s="4" customFormat="1" x14ac:dyDescent="0.3">
      <c r="A45" s="1077"/>
      <c r="B45" s="379" t="s">
        <v>4</v>
      </c>
      <c r="C45" s="2" t="s">
        <v>80</v>
      </c>
      <c r="D45" s="23">
        <f>+R45+AD45</f>
        <v>462000</v>
      </c>
      <c r="E45" s="23"/>
      <c r="F45" s="74">
        <f>+D45+E45</f>
        <v>462000</v>
      </c>
      <c r="G45" s="73">
        <f>+'F1,F2,F3,F4 (Desglose)'!H63</f>
        <v>21000</v>
      </c>
      <c r="H45" s="73">
        <f>+'F1,F2,F3,F4 (Desglose)'!I63</f>
        <v>21000</v>
      </c>
      <c r="I45" s="73">
        <f>+'F1,F2,F3,F4 (Desglose)'!J63</f>
        <v>21000</v>
      </c>
      <c r="J45" s="73">
        <f>+'F1,F2,F3,F4 (Desglose)'!K63</f>
        <v>21000</v>
      </c>
      <c r="K45" s="73">
        <f>+'F1,F2,F3,F4 (Desglose)'!L63</f>
        <v>21000</v>
      </c>
      <c r="L45" s="73">
        <f>+'F1,F2,F3,F4 (Desglose)'!M63</f>
        <v>21000</v>
      </c>
      <c r="M45" s="73">
        <f>+'F1,F2,F3,F4 (Desglose)'!N63</f>
        <v>21000</v>
      </c>
      <c r="N45" s="73">
        <f>+'F1,F2,F3,F4 (Desglose)'!O63</f>
        <v>21000</v>
      </c>
      <c r="O45" s="73">
        <f>+'F1,F2,F3,F4 (Desglose)'!P63</f>
        <v>21000</v>
      </c>
      <c r="P45" s="73">
        <f>+'F1,F2,F3,F4 (Desglose)'!Q63</f>
        <v>21000</v>
      </c>
      <c r="Q45" s="73">
        <f>+'F1,F2,F3,F4 (Desglose)'!R63</f>
        <v>21000</v>
      </c>
      <c r="R45" s="241">
        <f>SUM(G45:Q45)</f>
        <v>231000</v>
      </c>
      <c r="S45" s="73">
        <f>+'F1,F2,F3,F4 (Desglose)'!T63</f>
        <v>21000</v>
      </c>
      <c r="T45" s="73">
        <f>+'F1,F2,F3,F4 (Desglose)'!U63</f>
        <v>21000</v>
      </c>
      <c r="U45" s="73">
        <f>+'F1,F2,F3,F4 (Desglose)'!V63</f>
        <v>21000</v>
      </c>
      <c r="V45" s="73">
        <f>+'F1,F2,F3,F4 (Desglose)'!W63</f>
        <v>21000</v>
      </c>
      <c r="W45" s="73">
        <f>+'F1,F2,F3,F4 (Desglose)'!X63</f>
        <v>21000</v>
      </c>
      <c r="X45" s="73">
        <f>+'F1,F2,F3,F4 (Desglose)'!Y63</f>
        <v>21000</v>
      </c>
      <c r="Y45" s="73">
        <f>+'F1,F2,F3,F4 (Desglose)'!Z63</f>
        <v>21000</v>
      </c>
      <c r="Z45" s="73">
        <f>+'F1,F2,F3,F4 (Desglose)'!AA63</f>
        <v>21000</v>
      </c>
      <c r="AA45" s="73">
        <f>+'F1,F2,F3,F4 (Desglose)'!AB63</f>
        <v>21000</v>
      </c>
      <c r="AB45" s="73">
        <f>+'F1,F2,F3,F4 (Desglose)'!AC63</f>
        <v>21000</v>
      </c>
      <c r="AC45" s="73">
        <f>+'F1,F2,F3,F4 (Desglose)'!AD63</f>
        <v>21000</v>
      </c>
      <c r="AD45" s="241">
        <f>SUM(S45:AC45)</f>
        <v>231000</v>
      </c>
      <c r="AE45" s="24"/>
    </row>
    <row r="46" spans="1:31" x14ac:dyDescent="0.3">
      <c r="A46" s="1094" t="s">
        <v>6</v>
      </c>
      <c r="B46" s="43"/>
      <c r="C46" s="106"/>
      <c r="D46" s="75">
        <f>SUM(D47:D51)</f>
        <v>845048.75</v>
      </c>
      <c r="E46" s="75">
        <f>SUM(E47:E51)</f>
        <v>0</v>
      </c>
      <c r="F46" s="75">
        <f t="shared" si="19"/>
        <v>845048.75</v>
      </c>
      <c r="G46" s="75">
        <f>SUM(G47:G51)</f>
        <v>31877.059999999998</v>
      </c>
      <c r="H46" s="75">
        <f t="shared" ref="H46:AD46" si="50">SUM(H47:H51)</f>
        <v>32516.690000000002</v>
      </c>
      <c r="I46" s="75">
        <f t="shared" si="50"/>
        <v>36474</v>
      </c>
      <c r="J46" s="75">
        <f t="shared" si="50"/>
        <v>36474</v>
      </c>
      <c r="K46" s="75">
        <f t="shared" si="50"/>
        <v>36474</v>
      </c>
      <c r="L46" s="75">
        <f t="shared" si="50"/>
        <v>36474</v>
      </c>
      <c r="M46" s="75">
        <f t="shared" si="50"/>
        <v>36774</v>
      </c>
      <c r="N46" s="75">
        <f t="shared" si="50"/>
        <v>39774</v>
      </c>
      <c r="O46" s="75">
        <f t="shared" si="50"/>
        <v>39774</v>
      </c>
      <c r="P46" s="75">
        <f t="shared" si="50"/>
        <v>39774</v>
      </c>
      <c r="Q46" s="75">
        <f t="shared" si="50"/>
        <v>39774</v>
      </c>
      <c r="R46" s="75">
        <f t="shared" si="50"/>
        <v>406159.75</v>
      </c>
      <c r="S46" s="75">
        <f t="shared" si="50"/>
        <v>39899</v>
      </c>
      <c r="T46" s="75">
        <f t="shared" si="50"/>
        <v>39899</v>
      </c>
      <c r="U46" s="75">
        <f t="shared" si="50"/>
        <v>39899</v>
      </c>
      <c r="V46" s="75">
        <f t="shared" si="50"/>
        <v>39899</v>
      </c>
      <c r="W46" s="75">
        <f t="shared" si="50"/>
        <v>39899</v>
      </c>
      <c r="X46" s="75">
        <f t="shared" si="50"/>
        <v>39899</v>
      </c>
      <c r="Y46" s="75">
        <f t="shared" si="50"/>
        <v>39899</v>
      </c>
      <c r="Z46" s="75">
        <f t="shared" si="50"/>
        <v>39899</v>
      </c>
      <c r="AA46" s="75">
        <f t="shared" si="50"/>
        <v>39899</v>
      </c>
      <c r="AB46" s="75">
        <f t="shared" si="50"/>
        <v>39899</v>
      </c>
      <c r="AC46" s="75">
        <f t="shared" si="50"/>
        <v>39899</v>
      </c>
      <c r="AD46" s="75">
        <f t="shared" si="50"/>
        <v>438889</v>
      </c>
      <c r="AE46" s="25"/>
    </row>
    <row r="47" spans="1:31" x14ac:dyDescent="0.3">
      <c r="A47" s="1094"/>
      <c r="B47" s="39" t="s">
        <v>2</v>
      </c>
      <c r="C47" s="104" t="s">
        <v>86</v>
      </c>
      <c r="D47" s="23">
        <f>+R47+AD47</f>
        <v>96745.75</v>
      </c>
      <c r="E47" s="23"/>
      <c r="F47" s="74">
        <f t="shared" si="19"/>
        <v>96745.75</v>
      </c>
      <c r="G47" s="73">
        <f>+'F1,F2,F3,F4 (Desglose)'!H65</f>
        <v>3145.75</v>
      </c>
      <c r="H47" s="73">
        <f>+'F1,F2,F3,F4 (Desglose)'!I65</f>
        <v>3700</v>
      </c>
      <c r="I47" s="73">
        <f>+'F1,F2,F3,F4 (Desglose)'!J65</f>
        <v>4200</v>
      </c>
      <c r="J47" s="73">
        <f>+'F1,F2,F3,F4 (Desglose)'!K65</f>
        <v>4200</v>
      </c>
      <c r="K47" s="73">
        <f>+'F1,F2,F3,F4 (Desglose)'!L65</f>
        <v>4200</v>
      </c>
      <c r="L47" s="73">
        <f>+'F1,F2,F3,F4 (Desglose)'!M65</f>
        <v>4200</v>
      </c>
      <c r="M47" s="73">
        <f>+'F1,F2,F3,F4 (Desglose)'!N65</f>
        <v>4500</v>
      </c>
      <c r="N47" s="73">
        <f>+'F1,F2,F3,F4 (Desglose)'!O65</f>
        <v>4500</v>
      </c>
      <c r="O47" s="73">
        <f>+'F1,F2,F3,F4 (Desglose)'!P65</f>
        <v>4500</v>
      </c>
      <c r="P47" s="73">
        <f>+'F1,F2,F3,F4 (Desglose)'!Q65</f>
        <v>4500</v>
      </c>
      <c r="Q47" s="73">
        <f>+'F1,F2,F3,F4 (Desglose)'!R65</f>
        <v>4500</v>
      </c>
      <c r="R47" s="241">
        <f>SUM(G47:Q47)</f>
        <v>46145.75</v>
      </c>
      <c r="S47" s="73">
        <f>+'F1,F2,F3,F4 (Desglose)'!T65</f>
        <v>4600</v>
      </c>
      <c r="T47" s="73">
        <f>+'F1,F2,F3,F4 (Desglose)'!U65</f>
        <v>4600</v>
      </c>
      <c r="U47" s="73">
        <f>+'F1,F2,F3,F4 (Desglose)'!V65</f>
        <v>4600</v>
      </c>
      <c r="V47" s="73">
        <f>+'F1,F2,F3,F4 (Desglose)'!W65</f>
        <v>4600</v>
      </c>
      <c r="W47" s="73">
        <f>+'F1,F2,F3,F4 (Desglose)'!X65</f>
        <v>4600</v>
      </c>
      <c r="X47" s="73">
        <f>+'F1,F2,F3,F4 (Desglose)'!Y65</f>
        <v>4600</v>
      </c>
      <c r="Y47" s="73">
        <f>+'F1,F2,F3,F4 (Desglose)'!Z65</f>
        <v>4600</v>
      </c>
      <c r="Z47" s="73">
        <f>+'F1,F2,F3,F4 (Desglose)'!AA65</f>
        <v>4600</v>
      </c>
      <c r="AA47" s="73">
        <f>+'F1,F2,F3,F4 (Desglose)'!AB65</f>
        <v>4600</v>
      </c>
      <c r="AB47" s="73">
        <f>+'F1,F2,F3,F4 (Desglose)'!AC65</f>
        <v>4600</v>
      </c>
      <c r="AC47" s="73">
        <f>+'F1,F2,F3,F4 (Desglose)'!AD65</f>
        <v>4600</v>
      </c>
      <c r="AD47" s="241">
        <f>SUM(S47:AC47)</f>
        <v>50600</v>
      </c>
      <c r="AE47" s="24"/>
    </row>
    <row r="48" spans="1:31" x14ac:dyDescent="0.3">
      <c r="A48" s="1094"/>
      <c r="B48" s="39" t="s">
        <v>3</v>
      </c>
      <c r="C48" s="104" t="s">
        <v>7</v>
      </c>
      <c r="D48" s="23">
        <f>+R48+AD48</f>
        <v>25800</v>
      </c>
      <c r="E48" s="23"/>
      <c r="F48" s="74">
        <f t="shared" si="19"/>
        <v>25800</v>
      </c>
      <c r="G48" s="73">
        <f>+'F1,F2,F3,F4 (Desglose)'!H69</f>
        <v>857.31</v>
      </c>
      <c r="H48" s="73">
        <f>+'F1,F2,F3,F4 (Desglose)'!I69</f>
        <v>942.69</v>
      </c>
      <c r="I48" s="73">
        <f>+'F1,F2,F3,F4 (Desglose)'!J69</f>
        <v>1200</v>
      </c>
      <c r="J48" s="73">
        <f>+'F1,F2,F3,F4 (Desglose)'!K69</f>
        <v>1200</v>
      </c>
      <c r="K48" s="73">
        <f>+'F1,F2,F3,F4 (Desglose)'!L69</f>
        <v>1200</v>
      </c>
      <c r="L48" s="73">
        <f>+'F1,F2,F3,F4 (Desglose)'!M69</f>
        <v>1200</v>
      </c>
      <c r="M48" s="73">
        <f>+'F1,F2,F3,F4 (Desglose)'!N69</f>
        <v>1200</v>
      </c>
      <c r="N48" s="73">
        <f>+'F1,F2,F3,F4 (Desglose)'!O69</f>
        <v>1200</v>
      </c>
      <c r="O48" s="73">
        <f>+'F1,F2,F3,F4 (Desglose)'!P69</f>
        <v>1200</v>
      </c>
      <c r="P48" s="73">
        <f>+'F1,F2,F3,F4 (Desglose)'!Q69</f>
        <v>1200</v>
      </c>
      <c r="Q48" s="73">
        <f>+'F1,F2,F3,F4 (Desglose)'!R69</f>
        <v>1200</v>
      </c>
      <c r="R48" s="241">
        <f>SUM(G48:Q48)</f>
        <v>12600</v>
      </c>
      <c r="S48" s="73">
        <f>+'F1,F2,F3,F4 (Desglose)'!T69</f>
        <v>1200</v>
      </c>
      <c r="T48" s="73">
        <f>+'F1,F2,F3,F4 (Desglose)'!U69</f>
        <v>1200</v>
      </c>
      <c r="U48" s="73">
        <f>+'F1,F2,F3,F4 (Desglose)'!V69</f>
        <v>1200</v>
      </c>
      <c r="V48" s="73">
        <f>+'F1,F2,F3,F4 (Desglose)'!W69</f>
        <v>1200</v>
      </c>
      <c r="W48" s="73">
        <f>+'F1,F2,F3,F4 (Desglose)'!X69</f>
        <v>1200</v>
      </c>
      <c r="X48" s="73">
        <f>+'F1,F2,F3,F4 (Desglose)'!Y69</f>
        <v>1200</v>
      </c>
      <c r="Y48" s="73">
        <f>+'F1,F2,F3,F4 (Desglose)'!Z69</f>
        <v>1200</v>
      </c>
      <c r="Z48" s="73">
        <f>+'F1,F2,F3,F4 (Desglose)'!AA69</f>
        <v>1200</v>
      </c>
      <c r="AA48" s="73">
        <f>+'F1,F2,F3,F4 (Desglose)'!AB69</f>
        <v>1200</v>
      </c>
      <c r="AB48" s="73">
        <f>+'F1,F2,F3,F4 (Desglose)'!AC69</f>
        <v>1200</v>
      </c>
      <c r="AC48" s="73">
        <f>+'F1,F2,F3,F4 (Desglose)'!AD69</f>
        <v>1200</v>
      </c>
      <c r="AD48" s="241">
        <f>SUM(S48:AC48)</f>
        <v>13200</v>
      </c>
      <c r="AE48" s="24"/>
    </row>
    <row r="49" spans="1:31" x14ac:dyDescent="0.3">
      <c r="A49" s="1094"/>
      <c r="B49" s="39" t="s">
        <v>4</v>
      </c>
      <c r="C49" s="104" t="s">
        <v>87</v>
      </c>
      <c r="D49" s="23">
        <f>+R49+AD49</f>
        <v>1925</v>
      </c>
      <c r="E49" s="23"/>
      <c r="F49" s="74">
        <f t="shared" si="19"/>
        <v>1925</v>
      </c>
      <c r="G49" s="73">
        <f>+'F1,F2,F3,F4 (Desglose)'!H73</f>
        <v>75</v>
      </c>
      <c r="H49" s="73">
        <f>+'F1,F2,F3,F4 (Desglose)'!I73</f>
        <v>75</v>
      </c>
      <c r="I49" s="73">
        <f>+'F1,F2,F3,F4 (Desglose)'!J73</f>
        <v>75</v>
      </c>
      <c r="J49" s="73">
        <f>+'F1,F2,F3,F4 (Desglose)'!K73</f>
        <v>75</v>
      </c>
      <c r="K49" s="73">
        <f>+'F1,F2,F3,F4 (Desglose)'!L73</f>
        <v>75</v>
      </c>
      <c r="L49" s="73">
        <f>+'F1,F2,F3,F4 (Desglose)'!M73</f>
        <v>75</v>
      </c>
      <c r="M49" s="73">
        <f>+'F1,F2,F3,F4 (Desglose)'!N73</f>
        <v>75</v>
      </c>
      <c r="N49" s="73">
        <f>+'F1,F2,F3,F4 (Desglose)'!O73</f>
        <v>75</v>
      </c>
      <c r="O49" s="73">
        <f>+'F1,F2,F3,F4 (Desglose)'!P73</f>
        <v>75</v>
      </c>
      <c r="P49" s="73">
        <f>+'F1,F2,F3,F4 (Desglose)'!Q73</f>
        <v>75</v>
      </c>
      <c r="Q49" s="73">
        <f>+'F1,F2,F3,F4 (Desglose)'!R73</f>
        <v>75</v>
      </c>
      <c r="R49" s="241">
        <f>SUM(G49:Q49)</f>
        <v>825</v>
      </c>
      <c r="S49" s="73">
        <f>+'F1,F2,F3,F4 (Desglose)'!T73</f>
        <v>100</v>
      </c>
      <c r="T49" s="73">
        <f>+'F1,F2,F3,F4 (Desglose)'!U73</f>
        <v>100</v>
      </c>
      <c r="U49" s="73">
        <f>+'F1,F2,F3,F4 (Desglose)'!V73</f>
        <v>100</v>
      </c>
      <c r="V49" s="73">
        <f>+'F1,F2,F3,F4 (Desglose)'!W73</f>
        <v>100</v>
      </c>
      <c r="W49" s="73">
        <f>+'F1,F2,F3,F4 (Desglose)'!X73</f>
        <v>100</v>
      </c>
      <c r="X49" s="73">
        <f>+'F1,F2,F3,F4 (Desglose)'!Y73</f>
        <v>100</v>
      </c>
      <c r="Y49" s="73">
        <f>+'F1,F2,F3,F4 (Desglose)'!Z73</f>
        <v>100</v>
      </c>
      <c r="Z49" s="73">
        <f>+'F1,F2,F3,F4 (Desglose)'!AA73</f>
        <v>100</v>
      </c>
      <c r="AA49" s="73">
        <f>+'F1,F2,F3,F4 (Desglose)'!AB73</f>
        <v>100</v>
      </c>
      <c r="AB49" s="73">
        <f>+'F1,F2,F3,F4 (Desglose)'!AC73</f>
        <v>100</v>
      </c>
      <c r="AC49" s="73">
        <f>+'F1,F2,F3,F4 (Desglose)'!AD73</f>
        <v>100</v>
      </c>
      <c r="AD49" s="241">
        <f>SUM(S49:AC49)</f>
        <v>1100</v>
      </c>
      <c r="AE49" s="24"/>
    </row>
    <row r="50" spans="1:31" x14ac:dyDescent="0.3">
      <c r="A50" s="1094"/>
      <c r="B50" s="39" t="s">
        <v>8</v>
      </c>
      <c r="C50" s="104" t="s">
        <v>83</v>
      </c>
      <c r="D50" s="23">
        <f>+R50+AD50</f>
        <v>81578</v>
      </c>
      <c r="E50" s="23"/>
      <c r="F50" s="74">
        <f t="shared" si="19"/>
        <v>81578</v>
      </c>
      <c r="G50" s="73">
        <f>+'F1,F2,F3,F4 (Desglose)'!H77</f>
        <v>799</v>
      </c>
      <c r="H50" s="73">
        <f>+'F1,F2,F3,F4 (Desglose)'!I77</f>
        <v>799</v>
      </c>
      <c r="I50" s="73">
        <f>+'F1,F2,F3,F4 (Desglose)'!J77</f>
        <v>3999</v>
      </c>
      <c r="J50" s="73">
        <f>+'F1,F2,F3,F4 (Desglose)'!K77</f>
        <v>3999</v>
      </c>
      <c r="K50" s="73">
        <f>+'F1,F2,F3,F4 (Desglose)'!L77</f>
        <v>3999</v>
      </c>
      <c r="L50" s="73">
        <f>+'F1,F2,F3,F4 (Desglose)'!M77</f>
        <v>3999</v>
      </c>
      <c r="M50" s="73">
        <f>+'F1,F2,F3,F4 (Desglose)'!N77</f>
        <v>3999</v>
      </c>
      <c r="N50" s="73">
        <f>+'F1,F2,F3,F4 (Desglose)'!O77</f>
        <v>3999</v>
      </c>
      <c r="O50" s="73">
        <f>+'F1,F2,F3,F4 (Desglose)'!P77</f>
        <v>3999</v>
      </c>
      <c r="P50" s="73">
        <f>+'F1,F2,F3,F4 (Desglose)'!Q77</f>
        <v>3999</v>
      </c>
      <c r="Q50" s="73">
        <f>+'F1,F2,F3,F4 (Desglose)'!R77</f>
        <v>3999</v>
      </c>
      <c r="R50" s="241">
        <f>SUM(G50:Q50)</f>
        <v>37589</v>
      </c>
      <c r="S50" s="73">
        <f>+'F1,F2,F3,F4 (Desglose)'!T77</f>
        <v>3999</v>
      </c>
      <c r="T50" s="73">
        <f>+'F1,F2,F3,F4 (Desglose)'!U77</f>
        <v>3999</v>
      </c>
      <c r="U50" s="73">
        <f>+'F1,F2,F3,F4 (Desglose)'!V77</f>
        <v>3999</v>
      </c>
      <c r="V50" s="73">
        <f>+'F1,F2,F3,F4 (Desglose)'!W77</f>
        <v>3999</v>
      </c>
      <c r="W50" s="73">
        <f>+'F1,F2,F3,F4 (Desglose)'!X77</f>
        <v>3999</v>
      </c>
      <c r="X50" s="73">
        <f>+'F1,F2,F3,F4 (Desglose)'!Y77</f>
        <v>3999</v>
      </c>
      <c r="Y50" s="73">
        <f>+'F1,F2,F3,F4 (Desglose)'!Z77</f>
        <v>3999</v>
      </c>
      <c r="Z50" s="73">
        <f>+'F1,F2,F3,F4 (Desglose)'!AA77</f>
        <v>3999</v>
      </c>
      <c r="AA50" s="73">
        <f>+'F1,F2,F3,F4 (Desglose)'!AB77</f>
        <v>3999</v>
      </c>
      <c r="AB50" s="73">
        <f>+'F1,F2,F3,F4 (Desglose)'!AC77</f>
        <v>3999</v>
      </c>
      <c r="AC50" s="73">
        <f>+'F1,F2,F3,F4 (Desglose)'!AD77</f>
        <v>3999</v>
      </c>
      <c r="AD50" s="241">
        <f>SUM(S50:AC50)</f>
        <v>43989</v>
      </c>
      <c r="AE50" s="24"/>
    </row>
    <row r="51" spans="1:31" x14ac:dyDescent="0.3">
      <c r="A51" s="1094"/>
      <c r="B51" s="39" t="s">
        <v>9</v>
      </c>
      <c r="C51" s="104" t="s">
        <v>20</v>
      </c>
      <c r="D51" s="23">
        <f>+R51+AD51</f>
        <v>639000</v>
      </c>
      <c r="E51" s="23"/>
      <c r="F51" s="74">
        <f t="shared" si="19"/>
        <v>639000</v>
      </c>
      <c r="G51" s="73">
        <f>+'F1,F2,F3,F4 (Desglose)'!H81</f>
        <v>27000</v>
      </c>
      <c r="H51" s="73">
        <f>+'F1,F2,F3,F4 (Desglose)'!I81</f>
        <v>27000</v>
      </c>
      <c r="I51" s="73">
        <f>+'F1,F2,F3,F4 (Desglose)'!J81</f>
        <v>27000</v>
      </c>
      <c r="J51" s="73">
        <f>+'F1,F2,F3,F4 (Desglose)'!K81</f>
        <v>27000</v>
      </c>
      <c r="K51" s="73">
        <f>+'F1,F2,F3,F4 (Desglose)'!L81</f>
        <v>27000</v>
      </c>
      <c r="L51" s="73">
        <f>+'F1,F2,F3,F4 (Desglose)'!M81</f>
        <v>27000</v>
      </c>
      <c r="M51" s="73">
        <f>+'F1,F2,F3,F4 (Desglose)'!N81</f>
        <v>27000</v>
      </c>
      <c r="N51" s="73">
        <f>+'F1,F2,F3,F4 (Desglose)'!O81</f>
        <v>30000</v>
      </c>
      <c r="O51" s="73">
        <f>+'F1,F2,F3,F4 (Desglose)'!P81</f>
        <v>30000</v>
      </c>
      <c r="P51" s="73">
        <f>+'F1,F2,F3,F4 (Desglose)'!Q81</f>
        <v>30000</v>
      </c>
      <c r="Q51" s="73">
        <f>+'F1,F2,F3,F4 (Desglose)'!R81</f>
        <v>30000</v>
      </c>
      <c r="R51" s="241">
        <f>SUM(G51:Q51)</f>
        <v>309000</v>
      </c>
      <c r="S51" s="73">
        <f>+'F1,F2,F3,F4 (Desglose)'!T81</f>
        <v>30000</v>
      </c>
      <c r="T51" s="73">
        <f>+'F1,F2,F3,F4 (Desglose)'!U81</f>
        <v>30000</v>
      </c>
      <c r="U51" s="73">
        <f>+'F1,F2,F3,F4 (Desglose)'!V81</f>
        <v>30000</v>
      </c>
      <c r="V51" s="73">
        <f>+'F1,F2,F3,F4 (Desglose)'!W81</f>
        <v>30000</v>
      </c>
      <c r="W51" s="73">
        <f>+'F1,F2,F3,F4 (Desglose)'!X81</f>
        <v>30000</v>
      </c>
      <c r="X51" s="73">
        <f>+'F1,F2,F3,F4 (Desglose)'!Y81</f>
        <v>30000</v>
      </c>
      <c r="Y51" s="73">
        <f>+'F1,F2,F3,F4 (Desglose)'!Z81</f>
        <v>30000</v>
      </c>
      <c r="Z51" s="73">
        <f>+'F1,F2,F3,F4 (Desglose)'!AA81</f>
        <v>30000</v>
      </c>
      <c r="AA51" s="73">
        <f>+'F1,F2,F3,F4 (Desglose)'!AB81</f>
        <v>30000</v>
      </c>
      <c r="AB51" s="73">
        <f>+'F1,F2,F3,F4 (Desglose)'!AC81</f>
        <v>30000</v>
      </c>
      <c r="AC51" s="73">
        <f>+'F1,F2,F3,F4 (Desglose)'!AD81</f>
        <v>30000</v>
      </c>
      <c r="AD51" s="241">
        <f>SUM(S51:AC51)</f>
        <v>330000</v>
      </c>
      <c r="AE51" s="24"/>
    </row>
    <row r="52" spans="1:31" x14ac:dyDescent="0.3">
      <c r="A52" s="1094" t="s">
        <v>21</v>
      </c>
      <c r="B52" s="43"/>
      <c r="C52" s="106"/>
      <c r="D52" s="75">
        <f>SUM(D53:D57)</f>
        <v>508529.2</v>
      </c>
      <c r="E52" s="75">
        <f>SUM(E53:E57)</f>
        <v>0</v>
      </c>
      <c r="F52" s="75">
        <f t="shared" si="19"/>
        <v>508529.2</v>
      </c>
      <c r="G52" s="75">
        <f>SUM(G53:G57)</f>
        <v>13470</v>
      </c>
      <c r="H52" s="75">
        <f t="shared" ref="H52:AD52" si="51">SUM(H53:H57)</f>
        <v>18059.2</v>
      </c>
      <c r="I52" s="75">
        <f t="shared" si="51"/>
        <v>32000</v>
      </c>
      <c r="J52" s="75">
        <f t="shared" si="51"/>
        <v>52000</v>
      </c>
      <c r="K52" s="75">
        <f t="shared" si="51"/>
        <v>12000</v>
      </c>
      <c r="L52" s="75">
        <f t="shared" si="51"/>
        <v>12000</v>
      </c>
      <c r="M52" s="75">
        <f t="shared" si="51"/>
        <v>12000</v>
      </c>
      <c r="N52" s="75">
        <f t="shared" si="51"/>
        <v>27000</v>
      </c>
      <c r="O52" s="75">
        <f t="shared" si="51"/>
        <v>26000</v>
      </c>
      <c r="P52" s="75">
        <f t="shared" si="51"/>
        <v>26000</v>
      </c>
      <c r="Q52" s="75">
        <f t="shared" si="51"/>
        <v>24000</v>
      </c>
      <c r="R52" s="75">
        <f t="shared" si="51"/>
        <v>254529.2</v>
      </c>
      <c r="S52" s="97">
        <f t="shared" si="51"/>
        <v>0</v>
      </c>
      <c r="T52" s="75">
        <f t="shared" si="51"/>
        <v>52000</v>
      </c>
      <c r="U52" s="75">
        <f t="shared" si="51"/>
        <v>17000</v>
      </c>
      <c r="V52" s="75">
        <f t="shared" si="51"/>
        <v>17000</v>
      </c>
      <c r="W52" s="75">
        <f t="shared" si="51"/>
        <v>29000</v>
      </c>
      <c r="X52" s="75">
        <f t="shared" si="51"/>
        <v>17000</v>
      </c>
      <c r="Y52" s="75">
        <f t="shared" si="51"/>
        <v>17000</v>
      </c>
      <c r="Z52" s="75">
        <f t="shared" si="51"/>
        <v>17000</v>
      </c>
      <c r="AA52" s="75">
        <f t="shared" si="51"/>
        <v>21000</v>
      </c>
      <c r="AB52" s="75">
        <f t="shared" si="51"/>
        <v>31000</v>
      </c>
      <c r="AC52" s="75">
        <f t="shared" si="51"/>
        <v>36000</v>
      </c>
      <c r="AD52" s="75">
        <f t="shared" si="51"/>
        <v>254000</v>
      </c>
      <c r="AE52" s="25"/>
    </row>
    <row r="53" spans="1:31" ht="35.25" customHeight="1" x14ac:dyDescent="0.3">
      <c r="A53" s="1094"/>
      <c r="B53" s="38" t="s">
        <v>2</v>
      </c>
      <c r="C53" s="2" t="s">
        <v>84</v>
      </c>
      <c r="D53" s="23">
        <f>+R53+AD53</f>
        <v>178500</v>
      </c>
      <c r="E53" s="23"/>
      <c r="F53" s="74">
        <f t="shared" si="19"/>
        <v>178500</v>
      </c>
      <c r="G53" s="73">
        <f>+'F1,F2,F3,F4 (Desglose)'!H86</f>
        <v>12500</v>
      </c>
      <c r="H53" s="73">
        <f>+'F1,F2,F3,F4 (Desglose)'!I86</f>
        <v>8000</v>
      </c>
      <c r="I53" s="73">
        <f>+'F1,F2,F3,F4 (Desglose)'!J86</f>
        <v>6000</v>
      </c>
      <c r="J53" s="73">
        <f>+'F1,F2,F3,F4 (Desglose)'!K86</f>
        <v>6000</v>
      </c>
      <c r="K53" s="73">
        <f>+'F1,F2,F3,F4 (Desglose)'!L86</f>
        <v>6000</v>
      </c>
      <c r="L53" s="73">
        <f>+'F1,F2,F3,F4 (Desglose)'!M86</f>
        <v>6000</v>
      </c>
      <c r="M53" s="73">
        <f>+'F1,F2,F3,F4 (Desglose)'!N86</f>
        <v>6000</v>
      </c>
      <c r="N53" s="73">
        <f>+'F1,F2,F3,F4 (Desglose)'!O86</f>
        <v>6000</v>
      </c>
      <c r="O53" s="73">
        <f>+'F1,F2,F3,F4 (Desglose)'!P86</f>
        <v>15000</v>
      </c>
      <c r="P53" s="73">
        <f>+'F1,F2,F3,F4 (Desglose)'!Q86</f>
        <v>15000</v>
      </c>
      <c r="Q53" s="73">
        <f>+'F1,F2,F3,F4 (Desglose)'!R86</f>
        <v>13000</v>
      </c>
      <c r="R53" s="241">
        <f>SUM(G53:Q53)</f>
        <v>99500</v>
      </c>
      <c r="S53" s="73">
        <f>+'F1,F2,F3,F4 (Desglose)'!T86</f>
        <v>0</v>
      </c>
      <c r="T53" s="73">
        <f>+'F1,F2,F3,F4 (Desglose)'!U86</f>
        <v>6000</v>
      </c>
      <c r="U53" s="73">
        <f>+'F1,F2,F3,F4 (Desglose)'!V86</f>
        <v>6000</v>
      </c>
      <c r="V53" s="73">
        <f>+'F1,F2,F3,F4 (Desglose)'!W86</f>
        <v>6000</v>
      </c>
      <c r="W53" s="73">
        <f>+'F1,F2,F3,F4 (Desglose)'!X86</f>
        <v>8000</v>
      </c>
      <c r="X53" s="73">
        <f>+'F1,F2,F3,F4 (Desglose)'!Y86</f>
        <v>6000</v>
      </c>
      <c r="Y53" s="73">
        <f>+'F1,F2,F3,F4 (Desglose)'!Z86</f>
        <v>6000</v>
      </c>
      <c r="Z53" s="73">
        <f>+'F1,F2,F3,F4 (Desglose)'!AA86</f>
        <v>6000</v>
      </c>
      <c r="AA53" s="73">
        <f>+'F1,F2,F3,F4 (Desglose)'!AB86</f>
        <v>10000</v>
      </c>
      <c r="AB53" s="73">
        <f>+'F1,F2,F3,F4 (Desglose)'!AC86</f>
        <v>20000</v>
      </c>
      <c r="AC53" s="73">
        <f>+'F1,F2,F3,F4 (Desglose)'!AD86</f>
        <v>5000</v>
      </c>
      <c r="AD53" s="241">
        <f>SUM(S53:AC53)</f>
        <v>79000</v>
      </c>
      <c r="AE53" s="24"/>
    </row>
    <row r="54" spans="1:31" ht="72" x14ac:dyDescent="0.3">
      <c r="A54" s="1094"/>
      <c r="B54" s="38" t="s">
        <v>3</v>
      </c>
      <c r="C54" s="2" t="s">
        <v>89</v>
      </c>
      <c r="D54" s="23">
        <f>+R54+AD54</f>
        <v>204949.2</v>
      </c>
      <c r="E54" s="23"/>
      <c r="F54" s="74">
        <f>+D54+E54</f>
        <v>204949.2</v>
      </c>
      <c r="G54" s="73">
        <f>+'F1,F2,F3,F4 (Desglose)'!H87</f>
        <v>375</v>
      </c>
      <c r="H54" s="73">
        <f>+'F1,F2,F3,F4 (Desglose)'!I87</f>
        <v>9574.2000000000007</v>
      </c>
      <c r="I54" s="73">
        <f>+'F1,F2,F3,F4 (Desglose)'!J87</f>
        <v>10000</v>
      </c>
      <c r="J54" s="73">
        <f>+'F1,F2,F3,F4 (Desglose)'!K87</f>
        <v>10000</v>
      </c>
      <c r="K54" s="73">
        <f>+'F1,F2,F3,F4 (Desglose)'!L87</f>
        <v>5000</v>
      </c>
      <c r="L54" s="73">
        <f>+'F1,F2,F3,F4 (Desglose)'!M87</f>
        <v>5000</v>
      </c>
      <c r="M54" s="73">
        <f>+'F1,F2,F3,F4 (Desglose)'!N87</f>
        <v>5000</v>
      </c>
      <c r="N54" s="73">
        <f>+'F1,F2,F3,F4 (Desglose)'!O87</f>
        <v>10000</v>
      </c>
      <c r="O54" s="73">
        <f>+'F1,F2,F3,F4 (Desglose)'!P87</f>
        <v>10000</v>
      </c>
      <c r="P54" s="73">
        <f>+'F1,F2,F3,F4 (Desglose)'!Q87</f>
        <v>10000</v>
      </c>
      <c r="Q54" s="73">
        <f>+'F1,F2,F3,F4 (Desglose)'!R87</f>
        <v>10000</v>
      </c>
      <c r="R54" s="241">
        <f>SUM(G54:Q54)</f>
        <v>84949.2</v>
      </c>
      <c r="S54" s="73">
        <f>+'F1,F2,F3,F4 (Desglose)'!T87</f>
        <v>0</v>
      </c>
      <c r="T54" s="73">
        <f>+'F1,F2,F3,F4 (Desglose)'!U87</f>
        <v>10000</v>
      </c>
      <c r="U54" s="73">
        <f>+'F1,F2,F3,F4 (Desglose)'!V87</f>
        <v>10000</v>
      </c>
      <c r="V54" s="73">
        <f>+'F1,F2,F3,F4 (Desglose)'!W87</f>
        <v>10000</v>
      </c>
      <c r="W54" s="73">
        <f>+'F1,F2,F3,F4 (Desglose)'!X87</f>
        <v>10000</v>
      </c>
      <c r="X54" s="73">
        <f>+'F1,F2,F3,F4 (Desglose)'!Y87</f>
        <v>10000</v>
      </c>
      <c r="Y54" s="73">
        <f>+'F1,F2,F3,F4 (Desglose)'!Z87</f>
        <v>10000</v>
      </c>
      <c r="Z54" s="73">
        <f>+'F1,F2,F3,F4 (Desglose)'!AA87</f>
        <v>10000</v>
      </c>
      <c r="AA54" s="73">
        <f>+'F1,F2,F3,F4 (Desglose)'!AB87</f>
        <v>10000</v>
      </c>
      <c r="AB54" s="73">
        <f>+'F1,F2,F3,F4 (Desglose)'!AC87</f>
        <v>10000</v>
      </c>
      <c r="AC54" s="73">
        <f>+'F1,F2,F3,F4 (Desglose)'!AD87</f>
        <v>30000</v>
      </c>
      <c r="AD54" s="241">
        <f>SUM(S54:AC54)</f>
        <v>120000</v>
      </c>
      <c r="AE54" s="24"/>
    </row>
    <row r="55" spans="1:31" ht="33.75" customHeight="1" x14ac:dyDescent="0.3">
      <c r="A55" s="1094"/>
      <c r="B55" s="38" t="s">
        <v>4</v>
      </c>
      <c r="C55" s="46" t="s">
        <v>12</v>
      </c>
      <c r="D55" s="23">
        <f>+R55+AD55</f>
        <v>20080</v>
      </c>
      <c r="E55" s="23"/>
      <c r="F55" s="74">
        <f t="shared" si="19"/>
        <v>20080</v>
      </c>
      <c r="G55" s="73">
        <f>+'F1,F2,F3,F4 (Desglose)'!H88</f>
        <v>595</v>
      </c>
      <c r="H55" s="73">
        <f>+'F1,F2,F3,F4 (Desglose)'!I88</f>
        <v>485</v>
      </c>
      <c r="I55" s="73">
        <f>+'F1,F2,F3,F4 (Desglose)'!J88</f>
        <v>1000</v>
      </c>
      <c r="J55" s="73">
        <f>+'F1,F2,F3,F4 (Desglose)'!K88</f>
        <v>1000</v>
      </c>
      <c r="K55" s="73">
        <f>+'F1,F2,F3,F4 (Desglose)'!L88</f>
        <v>1000</v>
      </c>
      <c r="L55" s="73">
        <f>+'F1,F2,F3,F4 (Desglose)'!M88</f>
        <v>1000</v>
      </c>
      <c r="M55" s="73">
        <f>+'F1,F2,F3,F4 (Desglose)'!N88</f>
        <v>1000</v>
      </c>
      <c r="N55" s="73">
        <f>+'F1,F2,F3,F4 (Desglose)'!O88</f>
        <v>1000</v>
      </c>
      <c r="O55" s="73">
        <f>+'F1,F2,F3,F4 (Desglose)'!P88</f>
        <v>1000</v>
      </c>
      <c r="P55" s="73">
        <f>+'F1,F2,F3,F4 (Desglose)'!Q88</f>
        <v>1000</v>
      </c>
      <c r="Q55" s="73">
        <f>+'F1,F2,F3,F4 (Desglose)'!R88</f>
        <v>1000</v>
      </c>
      <c r="R55" s="241">
        <f>SUM(G55:Q55)</f>
        <v>10080</v>
      </c>
      <c r="S55" s="73">
        <f>+'F1,F2,F3,F4 (Desglose)'!T88</f>
        <v>0</v>
      </c>
      <c r="T55" s="73">
        <f>+'F1,F2,F3,F4 (Desglose)'!U88</f>
        <v>1000</v>
      </c>
      <c r="U55" s="73">
        <f>+'F1,F2,F3,F4 (Desglose)'!V88</f>
        <v>1000</v>
      </c>
      <c r="V55" s="73">
        <f>+'F1,F2,F3,F4 (Desglose)'!W88</f>
        <v>1000</v>
      </c>
      <c r="W55" s="73">
        <f>+'F1,F2,F3,F4 (Desglose)'!X88</f>
        <v>1000</v>
      </c>
      <c r="X55" s="73">
        <f>+'F1,F2,F3,F4 (Desglose)'!Y88</f>
        <v>1000</v>
      </c>
      <c r="Y55" s="73">
        <f>+'F1,F2,F3,F4 (Desglose)'!Z88</f>
        <v>1000</v>
      </c>
      <c r="Z55" s="73">
        <f>+'F1,F2,F3,F4 (Desglose)'!AA88</f>
        <v>1000</v>
      </c>
      <c r="AA55" s="73">
        <f>+'F1,F2,F3,F4 (Desglose)'!AB88</f>
        <v>1000</v>
      </c>
      <c r="AB55" s="73">
        <f>+'F1,F2,F3,F4 (Desglose)'!AC88</f>
        <v>1000</v>
      </c>
      <c r="AC55" s="73">
        <f>+'F1,F2,F3,F4 (Desglose)'!AD88</f>
        <v>1000</v>
      </c>
      <c r="AD55" s="241">
        <f>SUM(S55:AC55)</f>
        <v>10000</v>
      </c>
      <c r="AE55" s="24"/>
    </row>
    <row r="56" spans="1:31" ht="28.8" x14ac:dyDescent="0.3">
      <c r="A56" s="1094"/>
      <c r="B56" s="38" t="s">
        <v>8</v>
      </c>
      <c r="C56" s="46" t="s">
        <v>13</v>
      </c>
      <c r="D56" s="23">
        <f>+R56+AD56</f>
        <v>65000</v>
      </c>
      <c r="E56" s="23"/>
      <c r="F56" s="74">
        <f t="shared" si="19"/>
        <v>65000</v>
      </c>
      <c r="G56" s="73">
        <f>+'F1,F2,F3,F4 (Desglose)'!H89</f>
        <v>0</v>
      </c>
      <c r="H56" s="73">
        <f>+'F1,F2,F3,F4 (Desglose)'!I89</f>
        <v>0</v>
      </c>
      <c r="I56" s="73">
        <f>+'F1,F2,F3,F4 (Desglose)'!J89</f>
        <v>15000</v>
      </c>
      <c r="J56" s="73">
        <f>+'F1,F2,F3,F4 (Desglose)'!K89</f>
        <v>15000</v>
      </c>
      <c r="K56" s="73">
        <f>+'F1,F2,F3,F4 (Desglose)'!L89</f>
        <v>0</v>
      </c>
      <c r="L56" s="73">
        <f>+'F1,F2,F3,F4 (Desglose)'!M89</f>
        <v>0</v>
      </c>
      <c r="M56" s="73">
        <f>+'F1,F2,F3,F4 (Desglose)'!N89</f>
        <v>0</v>
      </c>
      <c r="N56" s="73">
        <f>+'F1,F2,F3,F4 (Desglose)'!O89</f>
        <v>10000</v>
      </c>
      <c r="O56" s="73">
        <f>+'F1,F2,F3,F4 (Desglose)'!P89</f>
        <v>0</v>
      </c>
      <c r="P56" s="73">
        <f>+'F1,F2,F3,F4 (Desglose)'!Q89</f>
        <v>0</v>
      </c>
      <c r="Q56" s="73">
        <f>+'F1,F2,F3,F4 (Desglose)'!R89</f>
        <v>0</v>
      </c>
      <c r="R56" s="241">
        <f>SUM(G56:Q56)</f>
        <v>40000</v>
      </c>
      <c r="S56" s="73">
        <f>+'F1,F2,F3,F4 (Desglose)'!T89</f>
        <v>0</v>
      </c>
      <c r="T56" s="73">
        <f>+'F1,F2,F3,F4 (Desglose)'!U89</f>
        <v>15000</v>
      </c>
      <c r="U56" s="73">
        <f>+'F1,F2,F3,F4 (Desglose)'!V89</f>
        <v>0</v>
      </c>
      <c r="V56" s="73">
        <f>+'F1,F2,F3,F4 (Desglose)'!W89</f>
        <v>0</v>
      </c>
      <c r="W56" s="73">
        <f>+'F1,F2,F3,F4 (Desglose)'!X89</f>
        <v>10000</v>
      </c>
      <c r="X56" s="73">
        <f>+'F1,F2,F3,F4 (Desglose)'!Y89</f>
        <v>0</v>
      </c>
      <c r="Y56" s="73">
        <f>+'F1,F2,F3,F4 (Desglose)'!Z89</f>
        <v>0</v>
      </c>
      <c r="Z56" s="73">
        <f>+'F1,F2,F3,F4 (Desglose)'!AA89</f>
        <v>0</v>
      </c>
      <c r="AA56" s="73">
        <f>+'F1,F2,F3,F4 (Desglose)'!AB89</f>
        <v>0</v>
      </c>
      <c r="AB56" s="73">
        <f>+'F1,F2,F3,F4 (Desglose)'!AC89</f>
        <v>0</v>
      </c>
      <c r="AC56" s="73">
        <f>+'F1,F2,F3,F4 (Desglose)'!AD89</f>
        <v>0</v>
      </c>
      <c r="AD56" s="241">
        <f>SUM(S56:AC56)</f>
        <v>25000</v>
      </c>
      <c r="AE56" s="24"/>
    </row>
    <row r="57" spans="1:31" ht="23.25" customHeight="1" x14ac:dyDescent="0.3">
      <c r="A57" s="1094"/>
      <c r="B57" s="38" t="s">
        <v>9</v>
      </c>
      <c r="C57" s="46" t="s">
        <v>15</v>
      </c>
      <c r="D57" s="23">
        <f>+R57+AD57</f>
        <v>40000</v>
      </c>
      <c r="E57" s="23"/>
      <c r="F57" s="74">
        <f t="shared" si="19"/>
        <v>40000</v>
      </c>
      <c r="G57" s="73">
        <f>+'F1,F2,F3,F4 (Desglose)'!H90</f>
        <v>0</v>
      </c>
      <c r="H57" s="73">
        <f>+'F1,F2,F3,F4 (Desglose)'!I90</f>
        <v>0</v>
      </c>
      <c r="I57" s="73">
        <f>+'F1,F2,F3,F4 (Desglose)'!J90</f>
        <v>0</v>
      </c>
      <c r="J57" s="73">
        <f>+'F1,F2,F3,F4 (Desglose)'!K90</f>
        <v>20000</v>
      </c>
      <c r="K57" s="73">
        <f>+'F1,F2,F3,F4 (Desglose)'!L90</f>
        <v>0</v>
      </c>
      <c r="L57" s="73">
        <f>+'F1,F2,F3,F4 (Desglose)'!M90</f>
        <v>0</v>
      </c>
      <c r="M57" s="73">
        <f>+'F1,F2,F3,F4 (Desglose)'!N90</f>
        <v>0</v>
      </c>
      <c r="N57" s="73">
        <f>+'F1,F2,F3,F4 (Desglose)'!O90</f>
        <v>0</v>
      </c>
      <c r="O57" s="73">
        <f>+'F1,F2,F3,F4 (Desglose)'!P90</f>
        <v>0</v>
      </c>
      <c r="P57" s="73">
        <f>+'F1,F2,F3,F4 (Desglose)'!Q90</f>
        <v>0</v>
      </c>
      <c r="Q57" s="73">
        <f>+'F1,F2,F3,F4 (Desglose)'!R90</f>
        <v>0</v>
      </c>
      <c r="R57" s="241">
        <f>SUM(G57:Q57)</f>
        <v>20000</v>
      </c>
      <c r="S57" s="73">
        <f>+'F1,F2,F3,F4 (Desglose)'!T90</f>
        <v>0</v>
      </c>
      <c r="T57" s="73">
        <f>+'F1,F2,F3,F4 (Desglose)'!U90</f>
        <v>20000</v>
      </c>
      <c r="U57" s="73">
        <f>+'F1,F2,F3,F4 (Desglose)'!V90</f>
        <v>0</v>
      </c>
      <c r="V57" s="73">
        <f>+'F1,F2,F3,F4 (Desglose)'!W90</f>
        <v>0</v>
      </c>
      <c r="W57" s="73">
        <f>+'F1,F2,F3,F4 (Desglose)'!X90</f>
        <v>0</v>
      </c>
      <c r="X57" s="73">
        <f>+'F1,F2,F3,F4 (Desglose)'!Y90</f>
        <v>0</v>
      </c>
      <c r="Y57" s="73">
        <f>+'F1,F2,F3,F4 (Desglose)'!Z90</f>
        <v>0</v>
      </c>
      <c r="Z57" s="73">
        <f>+'F1,F2,F3,F4 (Desglose)'!AA90</f>
        <v>0</v>
      </c>
      <c r="AA57" s="73">
        <f>+'F1,F2,F3,F4 (Desglose)'!AB90</f>
        <v>0</v>
      </c>
      <c r="AB57" s="73">
        <f>+'F1,F2,F3,F4 (Desglose)'!AC90</f>
        <v>0</v>
      </c>
      <c r="AC57" s="73">
        <f>+'F1,F2,F3,F4 (Desglose)'!AD90</f>
        <v>0</v>
      </c>
      <c r="AD57" s="241">
        <f>SUM(S57:AC57)</f>
        <v>20000</v>
      </c>
      <c r="AE57" s="24"/>
    </row>
    <row r="58" spans="1:31" s="67" customFormat="1" x14ac:dyDescent="0.3">
      <c r="A58" s="1094" t="s">
        <v>14</v>
      </c>
      <c r="B58" s="90"/>
      <c r="C58" s="107"/>
      <c r="D58" s="91">
        <f>SUM(D59:D60)</f>
        <v>178502.05</v>
      </c>
      <c r="E58" s="91">
        <f>SUM(E59:E60)</f>
        <v>0</v>
      </c>
      <c r="F58" s="91">
        <f t="shared" si="19"/>
        <v>178502.05</v>
      </c>
      <c r="G58" s="77">
        <f>SUM(G59:G60)</f>
        <v>0</v>
      </c>
      <c r="H58" s="77">
        <f t="shared" ref="H58:M58" si="52">SUM(H59:H60)</f>
        <v>5150</v>
      </c>
      <c r="I58" s="77">
        <f t="shared" si="52"/>
        <v>6000</v>
      </c>
      <c r="J58" s="77">
        <f t="shared" si="52"/>
        <v>6000</v>
      </c>
      <c r="K58" s="77">
        <f t="shared" si="52"/>
        <v>0</v>
      </c>
      <c r="L58" s="77">
        <f t="shared" si="52"/>
        <v>0</v>
      </c>
      <c r="M58" s="77">
        <f t="shared" si="52"/>
        <v>5000</v>
      </c>
      <c r="N58" s="77">
        <f t="shared" ref="N58:AD58" si="53">SUM(N59:N60)</f>
        <v>15000</v>
      </c>
      <c r="O58" s="77">
        <f t="shared" si="53"/>
        <v>11000</v>
      </c>
      <c r="P58" s="77">
        <f t="shared" si="53"/>
        <v>27352.05</v>
      </c>
      <c r="Q58" s="77">
        <f t="shared" si="53"/>
        <v>0</v>
      </c>
      <c r="R58" s="77">
        <f t="shared" si="53"/>
        <v>75502.05</v>
      </c>
      <c r="S58" s="98">
        <f t="shared" si="53"/>
        <v>0</v>
      </c>
      <c r="T58" s="77">
        <f t="shared" si="53"/>
        <v>35000</v>
      </c>
      <c r="U58" s="77">
        <f t="shared" si="53"/>
        <v>5000</v>
      </c>
      <c r="V58" s="77">
        <f t="shared" si="53"/>
        <v>5000</v>
      </c>
      <c r="W58" s="77">
        <f t="shared" si="53"/>
        <v>5000</v>
      </c>
      <c r="X58" s="77">
        <f t="shared" si="53"/>
        <v>15000</v>
      </c>
      <c r="Y58" s="77">
        <f t="shared" si="53"/>
        <v>5000</v>
      </c>
      <c r="Z58" s="77">
        <f t="shared" si="53"/>
        <v>3000</v>
      </c>
      <c r="AA58" s="77">
        <f t="shared" si="53"/>
        <v>25000</v>
      </c>
      <c r="AB58" s="77">
        <f t="shared" si="53"/>
        <v>0</v>
      </c>
      <c r="AC58" s="77">
        <f t="shared" si="53"/>
        <v>5000</v>
      </c>
      <c r="AD58" s="77">
        <f t="shared" si="53"/>
        <v>103000</v>
      </c>
      <c r="AE58" s="92"/>
    </row>
    <row r="59" spans="1:31" ht="33.75" customHeight="1" x14ac:dyDescent="0.3">
      <c r="A59" s="1094"/>
      <c r="B59" s="1" t="s">
        <v>2</v>
      </c>
      <c r="C59" s="2" t="s">
        <v>16</v>
      </c>
      <c r="D59" s="23">
        <f>+R59+AD59</f>
        <v>80650</v>
      </c>
      <c r="E59" s="23"/>
      <c r="F59" s="74">
        <f t="shared" si="19"/>
        <v>80650</v>
      </c>
      <c r="G59" s="78">
        <f>+'F1,F2,F3,F4 (Desglose)'!H92</f>
        <v>0</v>
      </c>
      <c r="H59" s="78">
        <f>+'F1,F2,F3,F4 (Desglose)'!I92</f>
        <v>1650</v>
      </c>
      <c r="I59" s="78">
        <f>+'F1,F2,F3,F4 (Desglose)'!J92</f>
        <v>3000</v>
      </c>
      <c r="J59" s="78">
        <f>+'F1,F2,F3,F4 (Desglose)'!K92</f>
        <v>3000</v>
      </c>
      <c r="K59" s="78">
        <f>+'F1,F2,F3,F4 (Desglose)'!L92</f>
        <v>0</v>
      </c>
      <c r="L59" s="78">
        <f>+'F1,F2,F3,F4 (Desglose)'!M92</f>
        <v>0</v>
      </c>
      <c r="M59" s="78">
        <f>+'F1,F2,F3,F4 (Desglose)'!N92</f>
        <v>5000</v>
      </c>
      <c r="N59" s="78">
        <f>+'F1,F2,F3,F4 (Desglose)'!O92</f>
        <v>5000</v>
      </c>
      <c r="O59" s="78">
        <f>+'F1,F2,F3,F4 (Desglose)'!P92</f>
        <v>5000</v>
      </c>
      <c r="P59" s="78">
        <f>+'F1,F2,F3,F4 (Desglose)'!Q92</f>
        <v>5000</v>
      </c>
      <c r="Q59" s="78">
        <f>+'F1,F2,F3,F4 (Desglose)'!R92</f>
        <v>0</v>
      </c>
      <c r="R59" s="406">
        <f>SUM(G59:Q59)</f>
        <v>27650</v>
      </c>
      <c r="S59" s="78">
        <f>+'F1,F2,F3,F4 (Desglose)'!T92</f>
        <v>0</v>
      </c>
      <c r="T59" s="78">
        <f>+'F1,F2,F3,F4 (Desglose)'!U92</f>
        <v>15000</v>
      </c>
      <c r="U59" s="78">
        <f>+'F1,F2,F3,F4 (Desglose)'!V92</f>
        <v>5000</v>
      </c>
      <c r="V59" s="78">
        <f>+'F1,F2,F3,F4 (Desglose)'!W92</f>
        <v>5000</v>
      </c>
      <c r="W59" s="78">
        <f>+'F1,F2,F3,F4 (Desglose)'!X92</f>
        <v>5000</v>
      </c>
      <c r="X59" s="78">
        <f>+'F1,F2,F3,F4 (Desglose)'!Y92</f>
        <v>5000</v>
      </c>
      <c r="Y59" s="78">
        <f>+'F1,F2,F3,F4 (Desglose)'!Z92</f>
        <v>5000</v>
      </c>
      <c r="Z59" s="78">
        <f>+'F1,F2,F3,F4 (Desglose)'!AA92</f>
        <v>3000</v>
      </c>
      <c r="AA59" s="78">
        <f>+'F1,F2,F3,F4 (Desglose)'!AB92</f>
        <v>5000</v>
      </c>
      <c r="AB59" s="78">
        <f>+'F1,F2,F3,F4 (Desglose)'!AC92</f>
        <v>0</v>
      </c>
      <c r="AC59" s="78">
        <f>+'F1,F2,F3,F4 (Desglose)'!AD92</f>
        <v>5000</v>
      </c>
      <c r="AD59" s="406">
        <f>SUM(S59:AC59)</f>
        <v>53000</v>
      </c>
      <c r="AE59" s="24"/>
    </row>
    <row r="60" spans="1:31" ht="58.5" customHeight="1" x14ac:dyDescent="0.3">
      <c r="A60" s="1094"/>
      <c r="B60" s="38" t="s">
        <v>3</v>
      </c>
      <c r="C60" s="46" t="s">
        <v>11</v>
      </c>
      <c r="D60" s="23">
        <f>+R60+AD60</f>
        <v>97852.05</v>
      </c>
      <c r="E60" s="23"/>
      <c r="F60" s="74">
        <f t="shared" si="19"/>
        <v>97852.05</v>
      </c>
      <c r="G60" s="78">
        <f>+'F1,F2,F3,F4 (Desglose)'!H93</f>
        <v>0</v>
      </c>
      <c r="H60" s="78">
        <f>+'F1,F2,F3,F4 (Desglose)'!I93</f>
        <v>3500</v>
      </c>
      <c r="I60" s="78">
        <f>+'F1,F2,F3,F4 (Desglose)'!J93</f>
        <v>3000</v>
      </c>
      <c r="J60" s="78">
        <f>+'F1,F2,F3,F4 (Desglose)'!K93</f>
        <v>3000</v>
      </c>
      <c r="K60" s="78">
        <f>+'F1,F2,F3,F4 (Desglose)'!L93</f>
        <v>0</v>
      </c>
      <c r="L60" s="78">
        <f>+'F1,F2,F3,F4 (Desglose)'!M93</f>
        <v>0</v>
      </c>
      <c r="M60" s="78">
        <f>+'F1,F2,F3,F4 (Desglose)'!N93</f>
        <v>0</v>
      </c>
      <c r="N60" s="78">
        <f>+'F1,F2,F3,F4 (Desglose)'!O93</f>
        <v>10000</v>
      </c>
      <c r="O60" s="78">
        <f>+'F1,F2,F3,F4 (Desglose)'!P93</f>
        <v>6000</v>
      </c>
      <c r="P60" s="78">
        <f>+'F1,F2,F3,F4 (Desglose)'!Q93</f>
        <v>22352.05</v>
      </c>
      <c r="Q60" s="78">
        <f>+'F1,F2,F3,F4 (Desglose)'!R93</f>
        <v>0</v>
      </c>
      <c r="R60" s="406">
        <f>SUM(G60:Q60)</f>
        <v>47852.05</v>
      </c>
      <c r="S60" s="78">
        <f>+'F1,F2,F3,F4 (Desglose)'!T93</f>
        <v>0</v>
      </c>
      <c r="T60" s="78">
        <f>+'F1,F2,F3,F4 (Desglose)'!U93</f>
        <v>20000</v>
      </c>
      <c r="U60" s="78">
        <f>+'F1,F2,F3,F4 (Desglose)'!V93</f>
        <v>0</v>
      </c>
      <c r="V60" s="78">
        <f>+'F1,F2,F3,F4 (Desglose)'!W93</f>
        <v>0</v>
      </c>
      <c r="W60" s="78">
        <f>+'F1,F2,F3,F4 (Desglose)'!X93</f>
        <v>0</v>
      </c>
      <c r="X60" s="78">
        <f>+'F1,F2,F3,F4 (Desglose)'!Y93</f>
        <v>10000</v>
      </c>
      <c r="Y60" s="78">
        <f>+'F1,F2,F3,F4 (Desglose)'!Z93</f>
        <v>0</v>
      </c>
      <c r="Z60" s="78">
        <f>+'F1,F2,F3,F4 (Desglose)'!AA93</f>
        <v>0</v>
      </c>
      <c r="AA60" s="78">
        <f>+'F1,F2,F3,F4 (Desglose)'!AB93</f>
        <v>20000</v>
      </c>
      <c r="AB60" s="78">
        <f>+'F1,F2,F3,F4 (Desglose)'!AC93</f>
        <v>0</v>
      </c>
      <c r="AC60" s="78">
        <f>+'F1,F2,F3,F4 (Desglose)'!AD93</f>
        <v>0</v>
      </c>
      <c r="AD60" s="406">
        <f>SUM(S60:AC60)</f>
        <v>50000</v>
      </c>
      <c r="AE60" s="24"/>
    </row>
    <row r="61" spans="1:31" x14ac:dyDescent="0.3">
      <c r="A61" s="1094" t="s">
        <v>19</v>
      </c>
      <c r="B61" s="43"/>
      <c r="C61" s="106"/>
      <c r="D61" s="75">
        <f>SUM(D62:D65)</f>
        <v>520560.6</v>
      </c>
      <c r="E61" s="75">
        <f>SUM(E62:E65)</f>
        <v>0</v>
      </c>
      <c r="F61" s="75">
        <f t="shared" si="19"/>
        <v>520560.6</v>
      </c>
      <c r="G61" s="75">
        <f>SUM(G62:G65)</f>
        <v>720</v>
      </c>
      <c r="H61" s="75">
        <f t="shared" ref="H61:AD61" si="54">SUM(H62:H65)</f>
        <v>19530</v>
      </c>
      <c r="I61" s="75">
        <f t="shared" si="54"/>
        <v>94440.6</v>
      </c>
      <c r="J61" s="75">
        <f t="shared" si="54"/>
        <v>3000</v>
      </c>
      <c r="K61" s="75">
        <f t="shared" si="54"/>
        <v>3000</v>
      </c>
      <c r="L61" s="75">
        <f t="shared" si="54"/>
        <v>30000</v>
      </c>
      <c r="M61" s="75">
        <f t="shared" si="54"/>
        <v>3000</v>
      </c>
      <c r="N61" s="75">
        <f t="shared" si="54"/>
        <v>52927.09</v>
      </c>
      <c r="O61" s="75">
        <f t="shared" si="54"/>
        <v>3000</v>
      </c>
      <c r="P61" s="75">
        <f t="shared" si="54"/>
        <v>23000</v>
      </c>
      <c r="Q61" s="75">
        <f t="shared" si="54"/>
        <v>42542.91</v>
      </c>
      <c r="R61" s="75">
        <f t="shared" si="54"/>
        <v>275160.59999999998</v>
      </c>
      <c r="S61" s="75">
        <f t="shared" si="54"/>
        <v>0</v>
      </c>
      <c r="T61" s="75">
        <f t="shared" si="54"/>
        <v>50000</v>
      </c>
      <c r="U61" s="75">
        <f t="shared" si="54"/>
        <v>23000</v>
      </c>
      <c r="V61" s="75">
        <f t="shared" si="54"/>
        <v>3000</v>
      </c>
      <c r="W61" s="75">
        <f t="shared" si="54"/>
        <v>45400</v>
      </c>
      <c r="X61" s="75">
        <f t="shared" si="54"/>
        <v>3000</v>
      </c>
      <c r="Y61" s="75">
        <f t="shared" si="54"/>
        <v>23000</v>
      </c>
      <c r="Z61" s="75">
        <f t="shared" si="54"/>
        <v>39000</v>
      </c>
      <c r="AA61" s="75">
        <f t="shared" si="54"/>
        <v>3000</v>
      </c>
      <c r="AB61" s="75">
        <f t="shared" si="54"/>
        <v>55000</v>
      </c>
      <c r="AC61" s="75">
        <f t="shared" si="54"/>
        <v>1000</v>
      </c>
      <c r="AD61" s="75">
        <f t="shared" si="54"/>
        <v>245400</v>
      </c>
      <c r="AE61" s="25"/>
    </row>
    <row r="62" spans="1:31" ht="36.75" customHeight="1" x14ac:dyDescent="0.3">
      <c r="A62" s="1094"/>
      <c r="B62" s="1" t="s">
        <v>2</v>
      </c>
      <c r="C62" s="3" t="s">
        <v>17</v>
      </c>
      <c r="D62" s="23">
        <f>+R62+AD62</f>
        <v>191840.6</v>
      </c>
      <c r="E62" s="23"/>
      <c r="F62" s="74">
        <f t="shared" si="19"/>
        <v>191840.6</v>
      </c>
      <c r="G62" s="78">
        <f>+'F1,F2,F3,F4 (Desglose)'!H96</f>
        <v>0</v>
      </c>
      <c r="H62" s="78">
        <f>+'F1,F2,F3,F4 (Desglose)'!I96</f>
        <v>1530</v>
      </c>
      <c r="I62" s="78">
        <f>+'F1,F2,F3,F4 (Desglose)'!J96</f>
        <v>64440.6</v>
      </c>
      <c r="J62" s="78">
        <f>+'F1,F2,F3,F4 (Desglose)'!K96</f>
        <v>1000</v>
      </c>
      <c r="K62" s="78">
        <f>+'F1,F2,F3,F4 (Desglose)'!L96</f>
        <v>1000</v>
      </c>
      <c r="L62" s="78">
        <f>+'F1,F2,F3,F4 (Desglose)'!M96</f>
        <v>10000</v>
      </c>
      <c r="M62" s="78">
        <f>+'F1,F2,F3,F4 (Desglose)'!N96</f>
        <v>1000</v>
      </c>
      <c r="N62" s="78">
        <f>+'F1,F2,F3,F4 (Desglose)'!O96</f>
        <v>14470</v>
      </c>
      <c r="O62" s="78">
        <f>+'F1,F2,F3,F4 (Desglose)'!P96</f>
        <v>1000</v>
      </c>
      <c r="P62" s="78">
        <f>+'F1,F2,F3,F4 (Desglose)'!Q96</f>
        <v>1000</v>
      </c>
      <c r="Q62" s="78">
        <f>+'F1,F2,F3,F4 (Desglose)'!R96</f>
        <v>16000</v>
      </c>
      <c r="R62" s="406">
        <f>SUM(G62:Q62)</f>
        <v>111440.6</v>
      </c>
      <c r="S62" s="78">
        <f>+'F1,F2,F3,F4 (Desglose)'!T96</f>
        <v>0</v>
      </c>
      <c r="T62" s="78">
        <f>+'F1,F2,F3,F4 (Desglose)'!U96</f>
        <v>25000</v>
      </c>
      <c r="U62" s="78">
        <f>+'F1,F2,F3,F4 (Desglose)'!V96</f>
        <v>1000</v>
      </c>
      <c r="V62" s="78">
        <f>+'F1,F2,F3,F4 (Desglose)'!W96</f>
        <v>1000</v>
      </c>
      <c r="W62" s="78">
        <f>+'F1,F2,F3,F4 (Desglose)'!X96</f>
        <v>20400</v>
      </c>
      <c r="X62" s="78">
        <f>+'F1,F2,F3,F4 (Desglose)'!Y96</f>
        <v>1000</v>
      </c>
      <c r="Y62" s="78">
        <f>+'F1,F2,F3,F4 (Desglose)'!Z96</f>
        <v>1000</v>
      </c>
      <c r="Z62" s="78">
        <f>+'F1,F2,F3,F4 (Desglose)'!AA96</f>
        <v>15000</v>
      </c>
      <c r="AA62" s="78">
        <f>+'F1,F2,F3,F4 (Desglose)'!AB96</f>
        <v>1000</v>
      </c>
      <c r="AB62" s="78">
        <f>+'F1,F2,F3,F4 (Desglose)'!AC96</f>
        <v>15000</v>
      </c>
      <c r="AC62" s="78">
        <f>+'F1,F2,F3,F4 (Desglose)'!AD96</f>
        <v>0</v>
      </c>
      <c r="AD62" s="406">
        <f>SUM(S62:AC62)</f>
        <v>80400</v>
      </c>
      <c r="AE62" s="24"/>
    </row>
    <row r="63" spans="1:31" ht="39" customHeight="1" x14ac:dyDescent="0.3">
      <c r="A63" s="1094"/>
      <c r="B63" s="1" t="s">
        <v>3</v>
      </c>
      <c r="C63" s="2" t="s">
        <v>88</v>
      </c>
      <c r="D63" s="23">
        <f>+R63+AD63</f>
        <v>119000</v>
      </c>
      <c r="E63" s="23"/>
      <c r="F63" s="74">
        <f t="shared" si="19"/>
        <v>119000</v>
      </c>
      <c r="G63" s="78">
        <f>+'F1,F2,F3,F4 (Desglose)'!H97</f>
        <v>0</v>
      </c>
      <c r="H63" s="78">
        <f>+'F1,F2,F3,F4 (Desglose)'!I97</f>
        <v>0</v>
      </c>
      <c r="I63" s="78">
        <f>+'F1,F2,F3,F4 (Desglose)'!J97</f>
        <v>15000</v>
      </c>
      <c r="J63" s="78">
        <f>+'F1,F2,F3,F4 (Desglose)'!K97</f>
        <v>1000</v>
      </c>
      <c r="K63" s="78">
        <f>+'F1,F2,F3,F4 (Desglose)'!L97</f>
        <v>1000</v>
      </c>
      <c r="L63" s="78">
        <f>+'F1,F2,F3,F4 (Desglose)'!M97</f>
        <v>10000</v>
      </c>
      <c r="M63" s="78">
        <f>+'F1,F2,F3,F4 (Desglose)'!N97</f>
        <v>1000</v>
      </c>
      <c r="N63" s="78">
        <f>+'F1,F2,F3,F4 (Desglose)'!O97</f>
        <v>14000</v>
      </c>
      <c r="O63" s="78">
        <f>+'F1,F2,F3,F4 (Desglose)'!P97</f>
        <v>1000</v>
      </c>
      <c r="P63" s="78">
        <f>+'F1,F2,F3,F4 (Desglose)'!Q97</f>
        <v>1000</v>
      </c>
      <c r="Q63" s="78">
        <f>+'F1,F2,F3,F4 (Desglose)'!R97</f>
        <v>16000</v>
      </c>
      <c r="R63" s="406">
        <f>SUM(G63:Q63)</f>
        <v>60000</v>
      </c>
      <c r="S63" s="78">
        <f>+'F1,F2,F3,F4 (Desglose)'!T97</f>
        <v>0</v>
      </c>
      <c r="T63" s="78">
        <f>+'F1,F2,F3,F4 (Desglose)'!U97</f>
        <v>15000</v>
      </c>
      <c r="U63" s="78">
        <f>+'F1,F2,F3,F4 (Desglose)'!V97</f>
        <v>1000</v>
      </c>
      <c r="V63" s="78">
        <f>+'F1,F2,F3,F4 (Desglose)'!W97</f>
        <v>1000</v>
      </c>
      <c r="W63" s="78">
        <f>+'F1,F2,F3,F4 (Desglose)'!X97</f>
        <v>15000</v>
      </c>
      <c r="X63" s="78">
        <f>+'F1,F2,F3,F4 (Desglose)'!Y97</f>
        <v>1000</v>
      </c>
      <c r="Y63" s="78">
        <f>+'F1,F2,F3,F4 (Desglose)'!Z97</f>
        <v>1000</v>
      </c>
      <c r="Z63" s="78">
        <f>+'F1,F2,F3,F4 (Desglose)'!AA97</f>
        <v>12000</v>
      </c>
      <c r="AA63" s="78">
        <f>+'F1,F2,F3,F4 (Desglose)'!AB97</f>
        <v>1000</v>
      </c>
      <c r="AB63" s="78">
        <f>+'F1,F2,F3,F4 (Desglose)'!AC97</f>
        <v>12000</v>
      </c>
      <c r="AC63" s="78">
        <f>+'F1,F2,F3,F4 (Desglose)'!AD97</f>
        <v>0</v>
      </c>
      <c r="AD63" s="406">
        <f>SUM(S63:AC63)</f>
        <v>59000</v>
      </c>
      <c r="AE63" s="24"/>
    </row>
    <row r="64" spans="1:31" ht="71.25" customHeight="1" x14ac:dyDescent="0.3">
      <c r="A64" s="1094"/>
      <c r="B64" s="1" t="s">
        <v>4</v>
      </c>
      <c r="C64" s="3" t="s">
        <v>596</v>
      </c>
      <c r="D64" s="23">
        <f>+R64+AD64</f>
        <v>95720</v>
      </c>
      <c r="E64" s="23"/>
      <c r="F64" s="74">
        <f t="shared" si="19"/>
        <v>95720</v>
      </c>
      <c r="G64" s="78">
        <f>+'F1,F2,F3,F4 (Desglose)'!H98</f>
        <v>720</v>
      </c>
      <c r="H64" s="78">
        <f>+'F1,F2,F3,F4 (Desglose)'!I98</f>
        <v>0</v>
      </c>
      <c r="I64" s="78">
        <f>+'F1,F2,F3,F4 (Desglose)'!J98</f>
        <v>15000</v>
      </c>
      <c r="J64" s="78">
        <f>+'F1,F2,F3,F4 (Desglose)'!K98</f>
        <v>1000</v>
      </c>
      <c r="K64" s="78">
        <f>+'F1,F2,F3,F4 (Desglose)'!L98</f>
        <v>1000</v>
      </c>
      <c r="L64" s="78">
        <f>+'F1,F2,F3,F4 (Desglose)'!M98</f>
        <v>10000</v>
      </c>
      <c r="M64" s="78">
        <f>+'F1,F2,F3,F4 (Desglose)'!N98</f>
        <v>1000</v>
      </c>
      <c r="N64" s="78">
        <f>+'F1,F2,F3,F4 (Desglose)'!O98</f>
        <v>6457.09</v>
      </c>
      <c r="O64" s="78">
        <f>+'F1,F2,F3,F4 (Desglose)'!P98</f>
        <v>1000</v>
      </c>
      <c r="P64" s="78">
        <f>+'F1,F2,F3,F4 (Desglose)'!Q98</f>
        <v>1000</v>
      </c>
      <c r="Q64" s="78">
        <f>+'F1,F2,F3,F4 (Desglose)'!R98</f>
        <v>10542.91</v>
      </c>
      <c r="R64" s="406">
        <f>SUM(G64:Q64)</f>
        <v>47720</v>
      </c>
      <c r="S64" s="78">
        <f>+'F1,F2,F3,F4 (Desglose)'!T98</f>
        <v>0</v>
      </c>
      <c r="T64" s="78">
        <f>+'F1,F2,F3,F4 (Desglose)'!U98</f>
        <v>10000</v>
      </c>
      <c r="U64" s="78">
        <f>+'F1,F2,F3,F4 (Desglose)'!V98</f>
        <v>1000</v>
      </c>
      <c r="V64" s="78">
        <f>+'F1,F2,F3,F4 (Desglose)'!W98</f>
        <v>1000</v>
      </c>
      <c r="W64" s="78">
        <f>+'F1,F2,F3,F4 (Desglose)'!X98</f>
        <v>10000</v>
      </c>
      <c r="X64" s="78">
        <f>+'F1,F2,F3,F4 (Desglose)'!Y98</f>
        <v>1000</v>
      </c>
      <c r="Y64" s="78">
        <f>+'F1,F2,F3,F4 (Desglose)'!Z98</f>
        <v>1000</v>
      </c>
      <c r="Z64" s="78">
        <f>+'F1,F2,F3,F4 (Desglose)'!AA98</f>
        <v>12000</v>
      </c>
      <c r="AA64" s="78">
        <f>+'F1,F2,F3,F4 (Desglose)'!AB98</f>
        <v>1000</v>
      </c>
      <c r="AB64" s="78">
        <f>+'F1,F2,F3,F4 (Desglose)'!AC98</f>
        <v>10000</v>
      </c>
      <c r="AC64" s="78">
        <f>+'F1,F2,F3,F4 (Desglose)'!AD98</f>
        <v>1000</v>
      </c>
      <c r="AD64" s="406">
        <f>SUM(S64:AC64)</f>
        <v>48000</v>
      </c>
      <c r="AE64" s="24"/>
    </row>
    <row r="65" spans="1:31" ht="22.5" customHeight="1" x14ac:dyDescent="0.3">
      <c r="A65" s="1094"/>
      <c r="B65" s="1" t="s">
        <v>8</v>
      </c>
      <c r="C65" s="2" t="s">
        <v>18</v>
      </c>
      <c r="D65" s="23">
        <f>+R65+AD65</f>
        <v>114000</v>
      </c>
      <c r="E65" s="23"/>
      <c r="F65" s="74">
        <f t="shared" si="19"/>
        <v>114000</v>
      </c>
      <c r="G65" s="78">
        <f>+'F1,F2,F3,F4 (Desglose)'!H99</f>
        <v>0</v>
      </c>
      <c r="H65" s="78">
        <f>+'F1,F2,F3,F4 (Desglose)'!I99</f>
        <v>18000</v>
      </c>
      <c r="I65" s="78">
        <f>+'F1,F2,F3,F4 (Desglose)'!J99</f>
        <v>0</v>
      </c>
      <c r="J65" s="78">
        <f>+'F1,F2,F3,F4 (Desglose)'!K99</f>
        <v>0</v>
      </c>
      <c r="K65" s="78">
        <f>+'F1,F2,F3,F4 (Desglose)'!L99</f>
        <v>0</v>
      </c>
      <c r="L65" s="78">
        <f>+'F1,F2,F3,F4 (Desglose)'!M99</f>
        <v>0</v>
      </c>
      <c r="M65" s="78">
        <f>+'F1,F2,F3,F4 (Desglose)'!N99</f>
        <v>0</v>
      </c>
      <c r="N65" s="78">
        <f>+'F1,F2,F3,F4 (Desglose)'!O99</f>
        <v>18000</v>
      </c>
      <c r="O65" s="78">
        <f>+'F1,F2,F3,F4 (Desglose)'!P99</f>
        <v>0</v>
      </c>
      <c r="P65" s="78">
        <f>+'F1,F2,F3,F4 (Desglose)'!Q99</f>
        <v>20000</v>
      </c>
      <c r="Q65" s="78">
        <f>+'F1,F2,F3,F4 (Desglose)'!R99</f>
        <v>0</v>
      </c>
      <c r="R65" s="406">
        <f>SUM(G65:Q65)</f>
        <v>56000</v>
      </c>
      <c r="S65" s="78">
        <f>+'F1,F2,F3,F4 (Desglose)'!T99</f>
        <v>0</v>
      </c>
      <c r="T65" s="78">
        <f>+'F1,F2,F3,F4 (Desglose)'!U99</f>
        <v>0</v>
      </c>
      <c r="U65" s="78">
        <f>+'F1,F2,F3,F4 (Desglose)'!V99</f>
        <v>20000</v>
      </c>
      <c r="V65" s="78">
        <f>+'F1,F2,F3,F4 (Desglose)'!W99</f>
        <v>0</v>
      </c>
      <c r="W65" s="78">
        <f>+'F1,F2,F3,F4 (Desglose)'!X99</f>
        <v>0</v>
      </c>
      <c r="X65" s="78">
        <f>+'F1,F2,F3,F4 (Desglose)'!Y99</f>
        <v>0</v>
      </c>
      <c r="Y65" s="78">
        <f>+'F1,F2,F3,F4 (Desglose)'!Z99</f>
        <v>20000</v>
      </c>
      <c r="Z65" s="78">
        <f>+'F1,F2,F3,F4 (Desglose)'!AA99</f>
        <v>0</v>
      </c>
      <c r="AA65" s="78">
        <f>+'F1,F2,F3,F4 (Desglose)'!AB99</f>
        <v>0</v>
      </c>
      <c r="AB65" s="78">
        <f>+'F1,F2,F3,F4 (Desglose)'!AC99</f>
        <v>18000</v>
      </c>
      <c r="AC65" s="78">
        <f>+'F1,F2,F3,F4 (Desglose)'!AD99</f>
        <v>0</v>
      </c>
      <c r="AD65" s="406">
        <f>SUM(S65:AC65)</f>
        <v>58000</v>
      </c>
      <c r="AE65" s="24"/>
    </row>
    <row r="66" spans="1:31" s="89" customFormat="1" ht="27.75" customHeight="1" x14ac:dyDescent="0.3">
      <c r="A66" s="1113" t="s">
        <v>26</v>
      </c>
      <c r="B66" s="1113"/>
      <c r="C66" s="1113"/>
      <c r="D66" s="128">
        <f>+D68</f>
        <v>1198000</v>
      </c>
      <c r="E66" s="128">
        <f>+E68</f>
        <v>0</v>
      </c>
      <c r="F66" s="128">
        <f t="shared" si="19"/>
        <v>1198000</v>
      </c>
      <c r="G66" s="128">
        <f>+G68</f>
        <v>18000</v>
      </c>
      <c r="H66" s="128">
        <f t="shared" ref="H66:AD66" si="55">+H68</f>
        <v>18000</v>
      </c>
      <c r="I66" s="128">
        <f t="shared" si="55"/>
        <v>23000</v>
      </c>
      <c r="J66" s="128">
        <f t="shared" si="55"/>
        <v>75100</v>
      </c>
      <c r="K66" s="128">
        <f t="shared" si="55"/>
        <v>76500</v>
      </c>
      <c r="L66" s="128">
        <f t="shared" si="55"/>
        <v>52400</v>
      </c>
      <c r="M66" s="128">
        <f t="shared" si="55"/>
        <v>32000</v>
      </c>
      <c r="N66" s="128">
        <f t="shared" si="55"/>
        <v>42000</v>
      </c>
      <c r="O66" s="128">
        <f t="shared" si="55"/>
        <v>42000</v>
      </c>
      <c r="P66" s="128">
        <f t="shared" si="55"/>
        <v>132000</v>
      </c>
      <c r="Q66" s="128">
        <f t="shared" si="55"/>
        <v>42000</v>
      </c>
      <c r="R66" s="128">
        <f t="shared" si="55"/>
        <v>553000</v>
      </c>
      <c r="S66" s="129">
        <f t="shared" si="55"/>
        <v>32000</v>
      </c>
      <c r="T66" s="128">
        <f t="shared" si="55"/>
        <v>42000</v>
      </c>
      <c r="U66" s="128">
        <f t="shared" si="55"/>
        <v>37000</v>
      </c>
      <c r="V66" s="128">
        <f t="shared" si="55"/>
        <v>37000</v>
      </c>
      <c r="W66" s="128">
        <f t="shared" si="55"/>
        <v>37000</v>
      </c>
      <c r="X66" s="128">
        <f t="shared" si="55"/>
        <v>37000</v>
      </c>
      <c r="Y66" s="128">
        <f t="shared" si="55"/>
        <v>37000</v>
      </c>
      <c r="Z66" s="128">
        <f t="shared" si="55"/>
        <v>37000</v>
      </c>
      <c r="AA66" s="128">
        <f t="shared" si="55"/>
        <v>37000</v>
      </c>
      <c r="AB66" s="128">
        <f t="shared" si="55"/>
        <v>37000</v>
      </c>
      <c r="AC66" s="128">
        <f t="shared" si="55"/>
        <v>275000</v>
      </c>
      <c r="AD66" s="128">
        <f t="shared" si="55"/>
        <v>645000</v>
      </c>
      <c r="AE66" s="87"/>
    </row>
    <row r="67" spans="1:31" x14ac:dyDescent="0.3">
      <c r="A67" s="100" t="s">
        <v>27</v>
      </c>
      <c r="B67" s="43"/>
      <c r="C67" s="106"/>
      <c r="D67" s="65" t="e">
        <f>+S67+#REF!</f>
        <v>#REF!</v>
      </c>
      <c r="E67" s="65" t="e">
        <f>+T67+D67</f>
        <v>#REF!</v>
      </c>
      <c r="F67" s="56" t="e">
        <f t="shared" si="19"/>
        <v>#REF!</v>
      </c>
      <c r="G67" s="68"/>
      <c r="H67" s="68"/>
      <c r="I67" s="68"/>
      <c r="J67" s="68"/>
      <c r="K67" s="68"/>
      <c r="L67" s="68"/>
      <c r="M67" s="68"/>
      <c r="N67" s="68"/>
      <c r="O67" s="68"/>
      <c r="P67" s="68"/>
      <c r="Q67" s="68"/>
      <c r="R67" s="56"/>
      <c r="S67" s="93"/>
      <c r="T67" s="68"/>
      <c r="U67" s="68"/>
      <c r="V67" s="68"/>
      <c r="W67" s="68"/>
      <c r="X67" s="68"/>
      <c r="Y67" s="68"/>
      <c r="Z67" s="68"/>
      <c r="AA67" s="68"/>
      <c r="AB67" s="68"/>
      <c r="AC67" s="68"/>
      <c r="AD67" s="56"/>
      <c r="AE67" s="26"/>
    </row>
    <row r="68" spans="1:31" x14ac:dyDescent="0.3">
      <c r="A68" s="42" t="s">
        <v>28</v>
      </c>
      <c r="B68" s="20"/>
      <c r="C68" s="102"/>
      <c r="D68" s="69">
        <f>+D69+D74</f>
        <v>1198000</v>
      </c>
      <c r="E68" s="69">
        <f>+E69+E74</f>
        <v>0</v>
      </c>
      <c r="F68" s="69">
        <f t="shared" si="19"/>
        <v>1198000</v>
      </c>
      <c r="G68" s="69">
        <f>+G69+G74</f>
        <v>18000</v>
      </c>
      <c r="H68" s="69">
        <f t="shared" ref="H68:O68" si="56">+H69+H74</f>
        <v>18000</v>
      </c>
      <c r="I68" s="69">
        <f t="shared" si="56"/>
        <v>23000</v>
      </c>
      <c r="J68" s="69">
        <f t="shared" si="56"/>
        <v>75100</v>
      </c>
      <c r="K68" s="69">
        <f t="shared" si="56"/>
        <v>76500</v>
      </c>
      <c r="L68" s="69">
        <f t="shared" si="56"/>
        <v>52400</v>
      </c>
      <c r="M68" s="69">
        <f t="shared" si="56"/>
        <v>32000</v>
      </c>
      <c r="N68" s="69">
        <f t="shared" si="56"/>
        <v>42000</v>
      </c>
      <c r="O68" s="69">
        <f t="shared" si="56"/>
        <v>42000</v>
      </c>
      <c r="P68" s="69">
        <f t="shared" ref="P68:AD68" si="57">+P69+P74</f>
        <v>132000</v>
      </c>
      <c r="Q68" s="69">
        <f t="shared" si="57"/>
        <v>42000</v>
      </c>
      <c r="R68" s="69">
        <f t="shared" si="57"/>
        <v>553000</v>
      </c>
      <c r="S68" s="94">
        <f t="shared" si="57"/>
        <v>32000</v>
      </c>
      <c r="T68" s="69">
        <f t="shared" si="57"/>
        <v>42000</v>
      </c>
      <c r="U68" s="69">
        <f t="shared" si="57"/>
        <v>37000</v>
      </c>
      <c r="V68" s="69">
        <f t="shared" si="57"/>
        <v>37000</v>
      </c>
      <c r="W68" s="69">
        <f t="shared" si="57"/>
        <v>37000</v>
      </c>
      <c r="X68" s="69">
        <f t="shared" si="57"/>
        <v>37000</v>
      </c>
      <c r="Y68" s="69">
        <f t="shared" si="57"/>
        <v>37000</v>
      </c>
      <c r="Z68" s="69">
        <f t="shared" si="57"/>
        <v>37000</v>
      </c>
      <c r="AA68" s="69">
        <f t="shared" si="57"/>
        <v>37000</v>
      </c>
      <c r="AB68" s="69">
        <f t="shared" si="57"/>
        <v>37000</v>
      </c>
      <c r="AC68" s="69">
        <f t="shared" si="57"/>
        <v>275000</v>
      </c>
      <c r="AD68" s="69">
        <f t="shared" si="57"/>
        <v>645000</v>
      </c>
      <c r="AE68" s="20"/>
    </row>
    <row r="69" spans="1:31" x14ac:dyDescent="0.3">
      <c r="A69" s="1094" t="s">
        <v>32</v>
      </c>
      <c r="B69" s="45"/>
      <c r="C69" s="105"/>
      <c r="D69" s="70">
        <f>SUM(D70:D73)</f>
        <v>838000</v>
      </c>
      <c r="E69" s="70">
        <f>SUM(E70:E73)</f>
        <v>0</v>
      </c>
      <c r="F69" s="70">
        <f t="shared" si="19"/>
        <v>838000</v>
      </c>
      <c r="G69" s="70">
        <f>SUM(G70:G73)</f>
        <v>18000</v>
      </c>
      <c r="H69" s="70">
        <f t="shared" ref="H69:M69" si="58">SUM(H70:H73)</f>
        <v>18000</v>
      </c>
      <c r="I69" s="70">
        <f t="shared" si="58"/>
        <v>23000</v>
      </c>
      <c r="J69" s="70">
        <f t="shared" si="58"/>
        <v>60100</v>
      </c>
      <c r="K69" s="70">
        <f t="shared" si="58"/>
        <v>61500</v>
      </c>
      <c r="L69" s="70">
        <f t="shared" si="58"/>
        <v>52400</v>
      </c>
      <c r="M69" s="70">
        <f t="shared" si="58"/>
        <v>32000</v>
      </c>
      <c r="N69" s="70">
        <f t="shared" ref="N69:AD69" si="59">SUM(N70:N73)</f>
        <v>42000</v>
      </c>
      <c r="O69" s="70">
        <f t="shared" si="59"/>
        <v>42000</v>
      </c>
      <c r="P69" s="70">
        <f t="shared" si="59"/>
        <v>42000</v>
      </c>
      <c r="Q69" s="70">
        <f t="shared" si="59"/>
        <v>42000</v>
      </c>
      <c r="R69" s="70">
        <f t="shared" si="59"/>
        <v>433000</v>
      </c>
      <c r="S69" s="99">
        <f t="shared" si="59"/>
        <v>32000</v>
      </c>
      <c r="T69" s="70">
        <f t="shared" si="59"/>
        <v>42000</v>
      </c>
      <c r="U69" s="70">
        <f t="shared" si="59"/>
        <v>37000</v>
      </c>
      <c r="V69" s="70">
        <f t="shared" si="59"/>
        <v>37000</v>
      </c>
      <c r="W69" s="70">
        <f t="shared" si="59"/>
        <v>37000</v>
      </c>
      <c r="X69" s="70">
        <f t="shared" si="59"/>
        <v>37000</v>
      </c>
      <c r="Y69" s="70">
        <f t="shared" si="59"/>
        <v>37000</v>
      </c>
      <c r="Z69" s="70">
        <f t="shared" si="59"/>
        <v>37000</v>
      </c>
      <c r="AA69" s="70">
        <f t="shared" si="59"/>
        <v>37000</v>
      </c>
      <c r="AB69" s="70">
        <f t="shared" si="59"/>
        <v>37000</v>
      </c>
      <c r="AC69" s="70">
        <f t="shared" si="59"/>
        <v>35000</v>
      </c>
      <c r="AD69" s="70">
        <f t="shared" si="59"/>
        <v>405000</v>
      </c>
      <c r="AE69" s="40"/>
    </row>
    <row r="70" spans="1:31" ht="33.75" customHeight="1" x14ac:dyDescent="0.3">
      <c r="A70" s="1094"/>
      <c r="B70" s="6" t="s">
        <v>2</v>
      </c>
      <c r="C70" s="3" t="s">
        <v>775</v>
      </c>
      <c r="D70" s="23">
        <f>+R70+AD70</f>
        <v>396000</v>
      </c>
      <c r="E70" s="23"/>
      <c r="F70" s="74">
        <f t="shared" si="19"/>
        <v>396000</v>
      </c>
      <c r="G70" s="81">
        <f>+'F1,F2,F3,F4 (Desglose)'!H104</f>
        <v>18000</v>
      </c>
      <c r="H70" s="81">
        <f>+'F1,F2,F3,F4 (Desglose)'!I104</f>
        <v>18000</v>
      </c>
      <c r="I70" s="81">
        <f>+'F1,F2,F3,F4 (Desglose)'!J104</f>
        <v>18000</v>
      </c>
      <c r="J70" s="81">
        <f>+'F1,F2,F3,F4 (Desglose)'!K104</f>
        <v>18000</v>
      </c>
      <c r="K70" s="81">
        <f>+'F1,F2,F3,F4 (Desglose)'!L104</f>
        <v>18000</v>
      </c>
      <c r="L70" s="81">
        <f>+'F1,F2,F3,F4 (Desglose)'!M104</f>
        <v>18000</v>
      </c>
      <c r="M70" s="81">
        <f>+'F1,F2,F3,F4 (Desglose)'!N104</f>
        <v>18000</v>
      </c>
      <c r="N70" s="81">
        <f>+'F1,F2,F3,F4 (Desglose)'!O104</f>
        <v>18000</v>
      </c>
      <c r="O70" s="81">
        <f>+'F1,F2,F3,F4 (Desglose)'!P104</f>
        <v>18000</v>
      </c>
      <c r="P70" s="81">
        <f>+'F1,F2,F3,F4 (Desglose)'!Q104</f>
        <v>18000</v>
      </c>
      <c r="Q70" s="81">
        <f>+'F1,F2,F3,F4 (Desglose)'!R104</f>
        <v>18000</v>
      </c>
      <c r="R70" s="241">
        <f>SUM(G70:Q70)</f>
        <v>198000</v>
      </c>
      <c r="S70" s="81">
        <f>+'F1,F2,F3,F4 (Desglose)'!T104</f>
        <v>18000</v>
      </c>
      <c r="T70" s="81">
        <f>+'F1,F2,F3,F4 (Desglose)'!U104</f>
        <v>18000</v>
      </c>
      <c r="U70" s="81">
        <f>+'F1,F2,F3,F4 (Desglose)'!V104</f>
        <v>18000</v>
      </c>
      <c r="V70" s="81">
        <f>+'F1,F2,F3,F4 (Desglose)'!W104</f>
        <v>18000</v>
      </c>
      <c r="W70" s="81">
        <f>+'F1,F2,F3,F4 (Desglose)'!X104</f>
        <v>18000</v>
      </c>
      <c r="X70" s="81">
        <f>+'F1,F2,F3,F4 (Desglose)'!Y104</f>
        <v>18000</v>
      </c>
      <c r="Y70" s="81">
        <f>+'F1,F2,F3,F4 (Desglose)'!Z104</f>
        <v>18000</v>
      </c>
      <c r="Z70" s="81">
        <f>+'F1,F2,F3,F4 (Desglose)'!AA104</f>
        <v>18000</v>
      </c>
      <c r="AA70" s="81">
        <f>+'F1,F2,F3,F4 (Desglose)'!AB104</f>
        <v>18000</v>
      </c>
      <c r="AB70" s="81">
        <f>+'F1,F2,F3,F4 (Desglose)'!AC104</f>
        <v>18000</v>
      </c>
      <c r="AC70" s="81">
        <f>+'F1,F2,F3,F4 (Desglose)'!AD104</f>
        <v>18000</v>
      </c>
      <c r="AD70" s="241">
        <f>SUM(S70:AC70)</f>
        <v>198000</v>
      </c>
      <c r="AE70" s="41"/>
    </row>
    <row r="71" spans="1:31" ht="28.8" x14ac:dyDescent="0.3">
      <c r="A71" s="1094"/>
      <c r="B71" s="6" t="s">
        <v>3</v>
      </c>
      <c r="C71" s="47" t="s">
        <v>853</v>
      </c>
      <c r="D71" s="23">
        <f>+R71+AD71</f>
        <v>259000</v>
      </c>
      <c r="E71" s="23"/>
      <c r="F71" s="74">
        <f t="shared" si="19"/>
        <v>259000</v>
      </c>
      <c r="G71" s="81">
        <f>+'F1,F2,F3,F4 (Desglose)'!H105</f>
        <v>0</v>
      </c>
      <c r="H71" s="81">
        <f>+'F1,F2,F3,F4 (Desglose)'!I105</f>
        <v>0</v>
      </c>
      <c r="I71" s="81">
        <f>+'F1,F2,F3,F4 (Desglose)'!J105</f>
        <v>0</v>
      </c>
      <c r="J71" s="81">
        <f>+'F1,F2,F3,F4 (Desglose)'!K105</f>
        <v>7000</v>
      </c>
      <c r="K71" s="81">
        <f>+'F1,F2,F3,F4 (Desglose)'!L105</f>
        <v>14000</v>
      </c>
      <c r="L71" s="81">
        <f>+'F1,F2,F3,F4 (Desglose)'!M105</f>
        <v>14000</v>
      </c>
      <c r="M71" s="81">
        <f>+'F1,F2,F3,F4 (Desglose)'!N105</f>
        <v>14000</v>
      </c>
      <c r="N71" s="81">
        <f>+'F1,F2,F3,F4 (Desglose)'!O105</f>
        <v>14000</v>
      </c>
      <c r="O71" s="81">
        <f>+'F1,F2,F3,F4 (Desglose)'!P105</f>
        <v>14000</v>
      </c>
      <c r="P71" s="81">
        <f>+'F1,F2,F3,F4 (Desglose)'!Q105</f>
        <v>14000</v>
      </c>
      <c r="Q71" s="81">
        <f>+'F1,F2,F3,F4 (Desglose)'!R105</f>
        <v>14000</v>
      </c>
      <c r="R71" s="241">
        <f>SUM(G71:Q71)</f>
        <v>105000</v>
      </c>
      <c r="S71" s="81">
        <f>+'F1,F2,F3,F4 (Desglose)'!T105</f>
        <v>14000</v>
      </c>
      <c r="T71" s="81">
        <f>+'F1,F2,F3,F4 (Desglose)'!U105</f>
        <v>14000</v>
      </c>
      <c r="U71" s="81">
        <f>+'F1,F2,F3,F4 (Desglose)'!V105</f>
        <v>14000</v>
      </c>
      <c r="V71" s="81">
        <f>+'F1,F2,F3,F4 (Desglose)'!W105</f>
        <v>14000</v>
      </c>
      <c r="W71" s="81">
        <f>+'F1,F2,F3,F4 (Desglose)'!X105</f>
        <v>14000</v>
      </c>
      <c r="X71" s="81">
        <f>+'F1,F2,F3,F4 (Desglose)'!Y105</f>
        <v>14000</v>
      </c>
      <c r="Y71" s="81">
        <f>+'F1,F2,F3,F4 (Desglose)'!Z105</f>
        <v>14000</v>
      </c>
      <c r="Z71" s="81">
        <f>+'F1,F2,F3,F4 (Desglose)'!AA105</f>
        <v>14000</v>
      </c>
      <c r="AA71" s="81">
        <f>+'F1,F2,F3,F4 (Desglose)'!AB105</f>
        <v>14000</v>
      </c>
      <c r="AB71" s="81">
        <f>+'F1,F2,F3,F4 (Desglose)'!AC105</f>
        <v>14000</v>
      </c>
      <c r="AC71" s="81">
        <f>+'F1,F2,F3,F4 (Desglose)'!AD105</f>
        <v>14000</v>
      </c>
      <c r="AD71" s="241">
        <f>SUM(S71:AC71)</f>
        <v>154000</v>
      </c>
      <c r="AE71" s="24"/>
    </row>
    <row r="72" spans="1:31" ht="43.2" x14ac:dyDescent="0.3">
      <c r="A72" s="1094"/>
      <c r="B72" s="6" t="s">
        <v>4</v>
      </c>
      <c r="C72" s="3" t="s">
        <v>30</v>
      </c>
      <c r="D72" s="23">
        <f>+R72+AD72</f>
        <v>70000</v>
      </c>
      <c r="E72" s="23"/>
      <c r="F72" s="74">
        <f t="shared" si="19"/>
        <v>70000</v>
      </c>
      <c r="G72" s="81">
        <f>+'F1,F2,F3,F4 (Desglose)'!H106</f>
        <v>0</v>
      </c>
      <c r="H72" s="81">
        <f>+'F1,F2,F3,F4 (Desglose)'!I106</f>
        <v>0</v>
      </c>
      <c r="I72" s="81">
        <f>+'F1,F2,F3,F4 (Desglose)'!J106</f>
        <v>0</v>
      </c>
      <c r="J72" s="81">
        <f>+'F1,F2,F3,F4 (Desglose)'!K106</f>
        <v>30100</v>
      </c>
      <c r="K72" s="81">
        <f>+'F1,F2,F3,F4 (Desglose)'!L106</f>
        <v>24500</v>
      </c>
      <c r="L72" s="81">
        <f>+'F1,F2,F3,F4 (Desglose)'!M106</f>
        <v>15400</v>
      </c>
      <c r="M72" s="81">
        <f>+'F1,F2,F3,F4 (Desglose)'!N106</f>
        <v>0</v>
      </c>
      <c r="N72" s="81">
        <f>+'F1,F2,F3,F4 (Desglose)'!O106</f>
        <v>0</v>
      </c>
      <c r="O72" s="81">
        <f>+'F1,F2,F3,F4 (Desglose)'!P106</f>
        <v>0</v>
      </c>
      <c r="P72" s="81">
        <f>+'F1,F2,F3,F4 (Desglose)'!Q106</f>
        <v>0</v>
      </c>
      <c r="Q72" s="81">
        <f>+'F1,F2,F3,F4 (Desglose)'!R106</f>
        <v>0</v>
      </c>
      <c r="R72" s="241">
        <f>SUM(G72:Q72)</f>
        <v>70000</v>
      </c>
      <c r="S72" s="81">
        <f>+'F1,F2,F3,F4 (Desglose)'!T106</f>
        <v>0</v>
      </c>
      <c r="T72" s="81">
        <f>+'F1,F2,F3,F4 (Desglose)'!U106</f>
        <v>0</v>
      </c>
      <c r="U72" s="81">
        <f>+'F1,F2,F3,F4 (Desglose)'!V106</f>
        <v>0</v>
      </c>
      <c r="V72" s="81">
        <f>+'F1,F2,F3,F4 (Desglose)'!W106</f>
        <v>0</v>
      </c>
      <c r="W72" s="81">
        <f>+'F1,F2,F3,F4 (Desglose)'!X106</f>
        <v>0</v>
      </c>
      <c r="X72" s="81">
        <f>+'F1,F2,F3,F4 (Desglose)'!Y106</f>
        <v>0</v>
      </c>
      <c r="Y72" s="81">
        <f>+'F1,F2,F3,F4 (Desglose)'!Z106</f>
        <v>0</v>
      </c>
      <c r="Z72" s="81">
        <f>+'F1,F2,F3,F4 (Desglose)'!AA106</f>
        <v>0</v>
      </c>
      <c r="AA72" s="81">
        <f>+'F1,F2,F3,F4 (Desglose)'!AB106</f>
        <v>0</v>
      </c>
      <c r="AB72" s="81">
        <f>+'F1,F2,F3,F4 (Desglose)'!AC106</f>
        <v>0</v>
      </c>
      <c r="AC72" s="81">
        <f>+'F1,F2,F3,F4 (Desglose)'!AD106</f>
        <v>0</v>
      </c>
      <c r="AD72" s="241">
        <f>SUM(S72:AC72)</f>
        <v>0</v>
      </c>
      <c r="AE72" s="24"/>
    </row>
    <row r="73" spans="1:31" ht="51" customHeight="1" x14ac:dyDescent="0.3">
      <c r="A73" s="1094"/>
      <c r="B73" s="6" t="s">
        <v>8</v>
      </c>
      <c r="C73" s="3" t="s">
        <v>29</v>
      </c>
      <c r="D73" s="23">
        <f>+R73+AD73</f>
        <v>113000</v>
      </c>
      <c r="E73" s="23"/>
      <c r="F73" s="74">
        <f t="shared" si="19"/>
        <v>113000</v>
      </c>
      <c r="G73" s="81">
        <f>+'F1,F2,F3,F4 (Desglose)'!H107</f>
        <v>0</v>
      </c>
      <c r="H73" s="81">
        <f>+'F1,F2,F3,F4 (Desglose)'!I107</f>
        <v>0</v>
      </c>
      <c r="I73" s="81">
        <f>+'F1,F2,F3,F4 (Desglose)'!J107</f>
        <v>5000</v>
      </c>
      <c r="J73" s="81">
        <f>+'F1,F2,F3,F4 (Desglose)'!K107</f>
        <v>5000</v>
      </c>
      <c r="K73" s="81">
        <f>+'F1,F2,F3,F4 (Desglose)'!L107</f>
        <v>5000</v>
      </c>
      <c r="L73" s="81">
        <f>+'F1,F2,F3,F4 (Desglose)'!M107</f>
        <v>5000</v>
      </c>
      <c r="M73" s="81">
        <f>+'F1,F2,F3,F4 (Desglose)'!N107</f>
        <v>0</v>
      </c>
      <c r="N73" s="81">
        <f>+'F1,F2,F3,F4 (Desglose)'!O107</f>
        <v>10000</v>
      </c>
      <c r="O73" s="81">
        <f>+'F1,F2,F3,F4 (Desglose)'!P107</f>
        <v>10000</v>
      </c>
      <c r="P73" s="81">
        <f>+'F1,F2,F3,F4 (Desglose)'!Q107</f>
        <v>10000</v>
      </c>
      <c r="Q73" s="81">
        <f>+'F1,F2,F3,F4 (Desglose)'!R107</f>
        <v>10000</v>
      </c>
      <c r="R73" s="241">
        <f>SUM(G73:Q73)</f>
        <v>60000</v>
      </c>
      <c r="S73" s="81">
        <f>+'F1,F2,F3,F4 (Desglose)'!T107</f>
        <v>0</v>
      </c>
      <c r="T73" s="81">
        <f>+'F1,F2,F3,F4 (Desglose)'!U107</f>
        <v>10000</v>
      </c>
      <c r="U73" s="81">
        <f>+'F1,F2,F3,F4 (Desglose)'!V107</f>
        <v>5000</v>
      </c>
      <c r="V73" s="81">
        <f>+'F1,F2,F3,F4 (Desglose)'!W107</f>
        <v>5000</v>
      </c>
      <c r="W73" s="81">
        <f>+'F1,F2,F3,F4 (Desglose)'!X107</f>
        <v>5000</v>
      </c>
      <c r="X73" s="81">
        <f>+'F1,F2,F3,F4 (Desglose)'!Y107</f>
        <v>5000</v>
      </c>
      <c r="Y73" s="81">
        <f>+'F1,F2,F3,F4 (Desglose)'!Z107</f>
        <v>5000</v>
      </c>
      <c r="Z73" s="81">
        <f>+'F1,F2,F3,F4 (Desglose)'!AA107</f>
        <v>5000</v>
      </c>
      <c r="AA73" s="81">
        <f>+'F1,F2,F3,F4 (Desglose)'!AB107</f>
        <v>5000</v>
      </c>
      <c r="AB73" s="81">
        <f>+'F1,F2,F3,F4 (Desglose)'!AC107</f>
        <v>5000</v>
      </c>
      <c r="AC73" s="81">
        <f>+'F1,F2,F3,F4 (Desglose)'!AD107</f>
        <v>3000</v>
      </c>
      <c r="AD73" s="241">
        <f>SUM(S73:AC73)</f>
        <v>53000</v>
      </c>
      <c r="AE73" s="24"/>
    </row>
    <row r="74" spans="1:31" s="67" customFormat="1" x14ac:dyDescent="0.3">
      <c r="A74" s="1094" t="s">
        <v>33</v>
      </c>
      <c r="B74" s="40"/>
      <c r="C74" s="108"/>
      <c r="D74" s="70">
        <f t="shared" ref="D74:AD74" si="60">SUM(D75:D76)</f>
        <v>360000</v>
      </c>
      <c r="E74" s="70">
        <f t="shared" si="60"/>
        <v>0</v>
      </c>
      <c r="F74" s="70">
        <f t="shared" si="60"/>
        <v>360000</v>
      </c>
      <c r="G74" s="70">
        <f t="shared" si="60"/>
        <v>0</v>
      </c>
      <c r="H74" s="70">
        <f t="shared" si="60"/>
        <v>0</v>
      </c>
      <c r="I74" s="70">
        <f t="shared" si="60"/>
        <v>0</v>
      </c>
      <c r="J74" s="70">
        <f t="shared" si="60"/>
        <v>15000</v>
      </c>
      <c r="K74" s="70">
        <f t="shared" si="60"/>
        <v>15000</v>
      </c>
      <c r="L74" s="70">
        <f t="shared" si="60"/>
        <v>0</v>
      </c>
      <c r="M74" s="70">
        <f t="shared" si="60"/>
        <v>0</v>
      </c>
      <c r="N74" s="70">
        <f t="shared" si="60"/>
        <v>0</v>
      </c>
      <c r="O74" s="70">
        <f t="shared" si="60"/>
        <v>0</v>
      </c>
      <c r="P74" s="70">
        <f t="shared" si="60"/>
        <v>90000</v>
      </c>
      <c r="Q74" s="70">
        <f t="shared" si="60"/>
        <v>0</v>
      </c>
      <c r="R74" s="70">
        <f t="shared" si="60"/>
        <v>120000</v>
      </c>
      <c r="S74" s="70">
        <f t="shared" si="60"/>
        <v>0</v>
      </c>
      <c r="T74" s="70">
        <f t="shared" si="60"/>
        <v>0</v>
      </c>
      <c r="U74" s="70">
        <f t="shared" si="60"/>
        <v>0</v>
      </c>
      <c r="V74" s="70">
        <f t="shared" si="60"/>
        <v>0</v>
      </c>
      <c r="W74" s="70">
        <f t="shared" si="60"/>
        <v>0</v>
      </c>
      <c r="X74" s="70">
        <f t="shared" si="60"/>
        <v>0</v>
      </c>
      <c r="Y74" s="70">
        <f t="shared" si="60"/>
        <v>0</v>
      </c>
      <c r="Z74" s="70">
        <f t="shared" si="60"/>
        <v>0</v>
      </c>
      <c r="AA74" s="70">
        <f t="shared" si="60"/>
        <v>0</v>
      </c>
      <c r="AB74" s="70">
        <f t="shared" si="60"/>
        <v>0</v>
      </c>
      <c r="AC74" s="70">
        <f t="shared" si="60"/>
        <v>240000</v>
      </c>
      <c r="AD74" s="70">
        <f t="shared" si="60"/>
        <v>240000</v>
      </c>
      <c r="AE74" s="40"/>
    </row>
    <row r="75" spans="1:31" ht="22.5" customHeight="1" x14ac:dyDescent="0.3">
      <c r="A75" s="1094"/>
      <c r="B75" s="5" t="s">
        <v>2</v>
      </c>
      <c r="C75" s="3" t="s">
        <v>31</v>
      </c>
      <c r="D75" s="23">
        <f>+R75+AD75</f>
        <v>300000</v>
      </c>
      <c r="E75" s="23"/>
      <c r="F75" s="74">
        <f t="shared" si="19"/>
        <v>300000</v>
      </c>
      <c r="G75" s="76">
        <f>+'F1,F2,F3,F4 (Desglose)'!H109</f>
        <v>0</v>
      </c>
      <c r="H75" s="76">
        <f>+'F1,F2,F3,F4 (Desglose)'!I109</f>
        <v>0</v>
      </c>
      <c r="I75" s="76">
        <f>+'F1,F2,F3,F4 (Desglose)'!J109</f>
        <v>0</v>
      </c>
      <c r="J75" s="76">
        <f>+'F1,F2,F3,F4 (Desglose)'!K109</f>
        <v>15000</v>
      </c>
      <c r="K75" s="76">
        <f>+'F1,F2,F3,F4 (Desglose)'!L109</f>
        <v>15000</v>
      </c>
      <c r="L75" s="76">
        <f>+'F1,F2,F3,F4 (Desglose)'!M109</f>
        <v>0</v>
      </c>
      <c r="M75" s="76">
        <f>+'F1,F2,F3,F4 (Desglose)'!N109</f>
        <v>0</v>
      </c>
      <c r="N75" s="76">
        <f>+'F1,F2,F3,F4 (Desglose)'!O109</f>
        <v>0</v>
      </c>
      <c r="O75" s="76">
        <f>+'F1,F2,F3,F4 (Desglose)'!P109</f>
        <v>0</v>
      </c>
      <c r="P75" s="76">
        <f>+'F1,F2,F3,F4 (Desglose)'!Q109</f>
        <v>90000</v>
      </c>
      <c r="Q75" s="76">
        <f>+'F1,F2,F3,F4 (Desglose)'!R109</f>
        <v>0</v>
      </c>
      <c r="R75" s="83">
        <f>SUM(G75:Q75)</f>
        <v>120000</v>
      </c>
      <c r="S75" s="76">
        <f>+'F1,F2,F3,F4 (Desglose)'!T109</f>
        <v>0</v>
      </c>
      <c r="T75" s="76">
        <f>+'F1,F2,F3,F4 (Desglose)'!U109</f>
        <v>0</v>
      </c>
      <c r="U75" s="76">
        <f>+'F1,F2,F3,F4 (Desglose)'!V109</f>
        <v>0</v>
      </c>
      <c r="V75" s="76">
        <f>+'F1,F2,F3,F4 (Desglose)'!W109</f>
        <v>0</v>
      </c>
      <c r="W75" s="76">
        <f>+'F1,F2,F3,F4 (Desglose)'!X109</f>
        <v>0</v>
      </c>
      <c r="X75" s="76">
        <f>+'F1,F2,F3,F4 (Desglose)'!Y109</f>
        <v>0</v>
      </c>
      <c r="Y75" s="76">
        <f>+'F1,F2,F3,F4 (Desglose)'!Z109</f>
        <v>0</v>
      </c>
      <c r="Z75" s="76">
        <f>+'F1,F2,F3,F4 (Desglose)'!AA109</f>
        <v>0</v>
      </c>
      <c r="AA75" s="76">
        <f>+'F1,F2,F3,F4 (Desglose)'!AB109</f>
        <v>0</v>
      </c>
      <c r="AB75" s="76">
        <f>+'F1,F2,F3,F4 (Desglose)'!AC109</f>
        <v>0</v>
      </c>
      <c r="AC75" s="76">
        <f>+'F1,F2,F3,F4 (Desglose)'!AD109</f>
        <v>180000</v>
      </c>
      <c r="AD75" s="83">
        <f>SUM(S75:AC75)</f>
        <v>180000</v>
      </c>
      <c r="AE75" s="76">
        <f>+'F1,F2,F3,F4 (Desglose)'!AC109</f>
        <v>0</v>
      </c>
    </row>
    <row r="76" spans="1:31" ht="33" customHeight="1" x14ac:dyDescent="0.3">
      <c r="A76" s="1094"/>
      <c r="B76" s="5" t="s">
        <v>3</v>
      </c>
      <c r="C76" s="3" t="s">
        <v>34</v>
      </c>
      <c r="D76" s="80">
        <f>+R76+AD76</f>
        <v>60000</v>
      </c>
      <c r="E76" s="80"/>
      <c r="F76" s="236">
        <f t="shared" si="19"/>
        <v>60000</v>
      </c>
      <c r="G76" s="76">
        <f>+'F1,F2,F3,F4 (Desglose)'!H110</f>
        <v>0</v>
      </c>
      <c r="H76" s="76">
        <f>+'F1,F2,F3,F4 (Desglose)'!I110</f>
        <v>0</v>
      </c>
      <c r="I76" s="76">
        <f>+'F1,F2,F3,F4 (Desglose)'!J110</f>
        <v>0</v>
      </c>
      <c r="J76" s="76">
        <f>+'F1,F2,F3,F4 (Desglose)'!K110</f>
        <v>0</v>
      </c>
      <c r="K76" s="76">
        <f>+'F1,F2,F3,F4 (Desglose)'!L110</f>
        <v>0</v>
      </c>
      <c r="L76" s="76">
        <f>+'F1,F2,F3,F4 (Desglose)'!M110</f>
        <v>0</v>
      </c>
      <c r="M76" s="76">
        <f>+'F1,F2,F3,F4 (Desglose)'!N110</f>
        <v>0</v>
      </c>
      <c r="N76" s="76">
        <f>+'F1,F2,F3,F4 (Desglose)'!O110</f>
        <v>0</v>
      </c>
      <c r="O76" s="76">
        <f>+'F1,F2,F3,F4 (Desglose)'!P110</f>
        <v>0</v>
      </c>
      <c r="P76" s="76">
        <f>+'F1,F2,F3,F4 (Desglose)'!Q110</f>
        <v>0</v>
      </c>
      <c r="Q76" s="76">
        <f>+'F1,F2,F3,F4 (Desglose)'!R110</f>
        <v>0</v>
      </c>
      <c r="R76" s="83">
        <f>SUM(G76:Q76)</f>
        <v>0</v>
      </c>
      <c r="S76" s="76">
        <f>+'F1,F2,F3,F4 (Desglose)'!T110</f>
        <v>0</v>
      </c>
      <c r="T76" s="76">
        <f>+'F1,F2,F3,F4 (Desglose)'!U110</f>
        <v>0</v>
      </c>
      <c r="U76" s="76">
        <f>+'F1,F2,F3,F4 (Desglose)'!V110</f>
        <v>0</v>
      </c>
      <c r="V76" s="76">
        <f>+'F1,F2,F3,F4 (Desglose)'!W110</f>
        <v>0</v>
      </c>
      <c r="W76" s="76">
        <f>+'F1,F2,F3,F4 (Desglose)'!X110</f>
        <v>0</v>
      </c>
      <c r="X76" s="76">
        <f>+'F1,F2,F3,F4 (Desglose)'!Y110</f>
        <v>0</v>
      </c>
      <c r="Y76" s="76">
        <f>+'F1,F2,F3,F4 (Desglose)'!Z110</f>
        <v>0</v>
      </c>
      <c r="Z76" s="76">
        <f>+'F1,F2,F3,F4 (Desglose)'!AA110</f>
        <v>0</v>
      </c>
      <c r="AA76" s="76">
        <f>+'F1,F2,F3,F4 (Desglose)'!AB110</f>
        <v>0</v>
      </c>
      <c r="AB76" s="76">
        <f>+'F1,F2,F3,F4 (Desglose)'!AC110</f>
        <v>0</v>
      </c>
      <c r="AC76" s="76">
        <f>+'F1,F2,F3,F4 (Desglose)'!AD110</f>
        <v>60000</v>
      </c>
      <c r="AD76" s="83">
        <f>SUM(S76:AC76)</f>
        <v>60000</v>
      </c>
      <c r="AE76" s="76">
        <f>+'F1,F2,F3,F4 (Desglose)'!AC110</f>
        <v>0</v>
      </c>
    </row>
    <row r="77" spans="1:31" s="135" customFormat="1" ht="24" customHeight="1" x14ac:dyDescent="0.3">
      <c r="A77" s="126" t="s">
        <v>35</v>
      </c>
      <c r="B77" s="87"/>
      <c r="C77" s="127"/>
      <c r="D77" s="128">
        <f>+D79</f>
        <v>696000</v>
      </c>
      <c r="E77" s="128">
        <f>+E79</f>
        <v>0</v>
      </c>
      <c r="F77" s="128">
        <f t="shared" si="19"/>
        <v>696000</v>
      </c>
      <c r="G77" s="128">
        <f>+G79</f>
        <v>18000</v>
      </c>
      <c r="H77" s="128">
        <f t="shared" ref="H77:AD77" si="61">+H79</f>
        <v>42610</v>
      </c>
      <c r="I77" s="128">
        <f t="shared" si="61"/>
        <v>83000</v>
      </c>
      <c r="J77" s="128">
        <f t="shared" si="61"/>
        <v>18000</v>
      </c>
      <c r="K77" s="128">
        <f t="shared" si="61"/>
        <v>18000</v>
      </c>
      <c r="L77" s="128">
        <f t="shared" si="61"/>
        <v>18000</v>
      </c>
      <c r="M77" s="128">
        <f t="shared" si="61"/>
        <v>18000</v>
      </c>
      <c r="N77" s="128">
        <f t="shared" si="61"/>
        <v>63390</v>
      </c>
      <c r="O77" s="128">
        <f t="shared" si="61"/>
        <v>18000</v>
      </c>
      <c r="P77" s="128">
        <f t="shared" si="61"/>
        <v>43000</v>
      </c>
      <c r="Q77" s="128">
        <f t="shared" si="61"/>
        <v>18000</v>
      </c>
      <c r="R77" s="128">
        <f t="shared" si="61"/>
        <v>358000</v>
      </c>
      <c r="S77" s="129">
        <f t="shared" si="61"/>
        <v>18000</v>
      </c>
      <c r="T77" s="128">
        <f t="shared" si="61"/>
        <v>18000</v>
      </c>
      <c r="U77" s="128">
        <f t="shared" si="61"/>
        <v>78000</v>
      </c>
      <c r="V77" s="128">
        <f t="shared" si="61"/>
        <v>18000</v>
      </c>
      <c r="W77" s="128">
        <f t="shared" si="61"/>
        <v>23000</v>
      </c>
      <c r="X77" s="128">
        <f t="shared" si="61"/>
        <v>18000</v>
      </c>
      <c r="Y77" s="128">
        <f t="shared" si="61"/>
        <v>23000</v>
      </c>
      <c r="Z77" s="128">
        <f t="shared" si="61"/>
        <v>18000</v>
      </c>
      <c r="AA77" s="128">
        <f t="shared" si="61"/>
        <v>23000</v>
      </c>
      <c r="AB77" s="128">
        <f t="shared" si="61"/>
        <v>18000</v>
      </c>
      <c r="AC77" s="128">
        <f t="shared" si="61"/>
        <v>83000</v>
      </c>
      <c r="AD77" s="128">
        <f t="shared" si="61"/>
        <v>338000</v>
      </c>
      <c r="AE77" s="87"/>
    </row>
    <row r="78" spans="1:31" x14ac:dyDescent="0.3">
      <c r="A78" s="54" t="s">
        <v>36</v>
      </c>
      <c r="B78" s="39"/>
      <c r="C78" s="104"/>
      <c r="D78" s="65" t="e">
        <f>+S78+#REF!</f>
        <v>#REF!</v>
      </c>
      <c r="E78" s="65" t="e">
        <f>+T78+D78</f>
        <v>#REF!</v>
      </c>
      <c r="F78" s="56" t="e">
        <f t="shared" ref="F78:F83" si="62">+D78+E78</f>
        <v>#REF!</v>
      </c>
      <c r="G78" s="68"/>
      <c r="H78" s="68"/>
      <c r="I78" s="68"/>
      <c r="J78" s="68"/>
      <c r="K78" s="68"/>
      <c r="L78" s="68"/>
      <c r="M78" s="68"/>
      <c r="N78" s="68"/>
      <c r="O78" s="68"/>
      <c r="P78" s="68"/>
      <c r="Q78" s="68"/>
      <c r="R78" s="56"/>
      <c r="S78" s="93"/>
      <c r="T78" s="68"/>
      <c r="U78" s="68"/>
      <c r="V78" s="68"/>
      <c r="W78" s="68"/>
      <c r="X78" s="68"/>
      <c r="Y78" s="68"/>
      <c r="Z78" s="68"/>
      <c r="AA78" s="68"/>
      <c r="AB78" s="68"/>
      <c r="AC78" s="68"/>
      <c r="AD78" s="56"/>
      <c r="AE78" s="26"/>
    </row>
    <row r="79" spans="1:31" x14ac:dyDescent="0.3">
      <c r="A79" s="54" t="s">
        <v>37</v>
      </c>
      <c r="B79" s="39"/>
      <c r="C79" s="104"/>
      <c r="D79" s="69">
        <f>+D80</f>
        <v>696000</v>
      </c>
      <c r="E79" s="69">
        <f>+E81</f>
        <v>0</v>
      </c>
      <c r="F79" s="69">
        <f t="shared" si="62"/>
        <v>696000</v>
      </c>
      <c r="G79" s="69">
        <f>+G80</f>
        <v>18000</v>
      </c>
      <c r="H79" s="69">
        <f>+H80</f>
        <v>42610</v>
      </c>
      <c r="I79" s="69">
        <f t="shared" ref="I79:AD79" si="63">+I80</f>
        <v>83000</v>
      </c>
      <c r="J79" s="69">
        <f t="shared" si="63"/>
        <v>18000</v>
      </c>
      <c r="K79" s="69">
        <f t="shared" si="63"/>
        <v>18000</v>
      </c>
      <c r="L79" s="69">
        <f t="shared" si="63"/>
        <v>18000</v>
      </c>
      <c r="M79" s="69">
        <f t="shared" si="63"/>
        <v>18000</v>
      </c>
      <c r="N79" s="69">
        <f t="shared" si="63"/>
        <v>63390</v>
      </c>
      <c r="O79" s="69">
        <f t="shared" si="63"/>
        <v>18000</v>
      </c>
      <c r="P79" s="69">
        <f t="shared" si="63"/>
        <v>43000</v>
      </c>
      <c r="Q79" s="69">
        <f t="shared" si="63"/>
        <v>18000</v>
      </c>
      <c r="R79" s="69">
        <f t="shared" si="63"/>
        <v>358000</v>
      </c>
      <c r="S79" s="94">
        <f t="shared" si="63"/>
        <v>18000</v>
      </c>
      <c r="T79" s="69">
        <f t="shared" si="63"/>
        <v>18000</v>
      </c>
      <c r="U79" s="69">
        <f t="shared" si="63"/>
        <v>78000</v>
      </c>
      <c r="V79" s="69">
        <f t="shared" si="63"/>
        <v>18000</v>
      </c>
      <c r="W79" s="69">
        <f t="shared" si="63"/>
        <v>23000</v>
      </c>
      <c r="X79" s="69">
        <f t="shared" si="63"/>
        <v>18000</v>
      </c>
      <c r="Y79" s="69">
        <f t="shared" si="63"/>
        <v>23000</v>
      </c>
      <c r="Z79" s="69">
        <f t="shared" si="63"/>
        <v>18000</v>
      </c>
      <c r="AA79" s="69">
        <f t="shared" si="63"/>
        <v>23000</v>
      </c>
      <c r="AB79" s="69">
        <f t="shared" si="63"/>
        <v>18000</v>
      </c>
      <c r="AC79" s="69">
        <f t="shared" si="63"/>
        <v>83000</v>
      </c>
      <c r="AD79" s="69">
        <f t="shared" si="63"/>
        <v>338000</v>
      </c>
      <c r="AE79" s="20"/>
    </row>
    <row r="80" spans="1:31" x14ac:dyDescent="0.3">
      <c r="A80" s="1094" t="s">
        <v>79</v>
      </c>
      <c r="B80" s="45"/>
      <c r="C80" s="105"/>
      <c r="D80" s="70">
        <f>SUM(D81:D83)</f>
        <v>696000</v>
      </c>
      <c r="E80" s="70">
        <f>SUM(E81:E83)</f>
        <v>0</v>
      </c>
      <c r="F80" s="70">
        <f>SUM(F81:F83)</f>
        <v>696000</v>
      </c>
      <c r="G80" s="70">
        <f>SUM(G81:G83)</f>
        <v>18000</v>
      </c>
      <c r="H80" s="70">
        <f t="shared" ref="H80:AD80" si="64">SUM(H81:H83)</f>
        <v>42610</v>
      </c>
      <c r="I80" s="70">
        <f t="shared" si="64"/>
        <v>83000</v>
      </c>
      <c r="J80" s="70">
        <f t="shared" si="64"/>
        <v>18000</v>
      </c>
      <c r="K80" s="70">
        <f t="shared" si="64"/>
        <v>18000</v>
      </c>
      <c r="L80" s="70">
        <f t="shared" si="64"/>
        <v>18000</v>
      </c>
      <c r="M80" s="70">
        <f t="shared" si="64"/>
        <v>18000</v>
      </c>
      <c r="N80" s="70">
        <f t="shared" si="64"/>
        <v>63390</v>
      </c>
      <c r="O80" s="70">
        <f t="shared" si="64"/>
        <v>18000</v>
      </c>
      <c r="P80" s="70">
        <f t="shared" si="64"/>
        <v>43000</v>
      </c>
      <c r="Q80" s="70">
        <f t="shared" si="64"/>
        <v>18000</v>
      </c>
      <c r="R80" s="70">
        <f t="shared" si="64"/>
        <v>358000</v>
      </c>
      <c r="S80" s="99">
        <f t="shared" si="64"/>
        <v>18000</v>
      </c>
      <c r="T80" s="70">
        <f t="shared" si="64"/>
        <v>18000</v>
      </c>
      <c r="U80" s="70">
        <f t="shared" si="64"/>
        <v>78000</v>
      </c>
      <c r="V80" s="70">
        <f t="shared" si="64"/>
        <v>18000</v>
      </c>
      <c r="W80" s="70">
        <f t="shared" si="64"/>
        <v>23000</v>
      </c>
      <c r="X80" s="70">
        <f t="shared" si="64"/>
        <v>18000</v>
      </c>
      <c r="Y80" s="70">
        <f t="shared" si="64"/>
        <v>23000</v>
      </c>
      <c r="Z80" s="70">
        <f t="shared" si="64"/>
        <v>18000</v>
      </c>
      <c r="AA80" s="70">
        <f t="shared" si="64"/>
        <v>23000</v>
      </c>
      <c r="AB80" s="70">
        <f t="shared" si="64"/>
        <v>18000</v>
      </c>
      <c r="AC80" s="70">
        <f t="shared" si="64"/>
        <v>83000</v>
      </c>
      <c r="AD80" s="70">
        <f t="shared" si="64"/>
        <v>338000</v>
      </c>
      <c r="AE80" s="40"/>
    </row>
    <row r="81" spans="1:31" ht="37.5" customHeight="1" x14ac:dyDescent="0.3">
      <c r="A81" s="1094"/>
      <c r="B81" s="7" t="s">
        <v>2</v>
      </c>
      <c r="C81" s="8" t="s">
        <v>38</v>
      </c>
      <c r="D81" s="23">
        <f>+R81+AD81</f>
        <v>396000</v>
      </c>
      <c r="E81" s="23"/>
      <c r="F81" s="74">
        <f t="shared" si="62"/>
        <v>396000</v>
      </c>
      <c r="G81" s="73">
        <v>18000</v>
      </c>
      <c r="H81" s="73">
        <v>18000</v>
      </c>
      <c r="I81" s="73">
        <v>18000</v>
      </c>
      <c r="J81" s="73">
        <v>18000</v>
      </c>
      <c r="K81" s="73">
        <v>18000</v>
      </c>
      <c r="L81" s="73">
        <v>18000</v>
      </c>
      <c r="M81" s="73">
        <v>18000</v>
      </c>
      <c r="N81" s="73">
        <v>18000</v>
      </c>
      <c r="O81" s="73">
        <v>18000</v>
      </c>
      <c r="P81" s="73">
        <v>18000</v>
      </c>
      <c r="Q81" s="73">
        <v>18000</v>
      </c>
      <c r="R81" s="82">
        <f>SUM(G81:Q81)</f>
        <v>198000</v>
      </c>
      <c r="S81" s="96">
        <v>18000</v>
      </c>
      <c r="T81" s="73">
        <v>18000</v>
      </c>
      <c r="U81" s="73">
        <v>18000</v>
      </c>
      <c r="V81" s="73">
        <v>18000</v>
      </c>
      <c r="W81" s="73">
        <v>18000</v>
      </c>
      <c r="X81" s="73">
        <v>18000</v>
      </c>
      <c r="Y81" s="73">
        <v>18000</v>
      </c>
      <c r="Z81" s="73">
        <v>18000</v>
      </c>
      <c r="AA81" s="73">
        <v>18000</v>
      </c>
      <c r="AB81" s="73">
        <v>18000</v>
      </c>
      <c r="AC81" s="73">
        <v>18000</v>
      </c>
      <c r="AD81" s="82">
        <f>SUM(S81:AC81)</f>
        <v>198000</v>
      </c>
      <c r="AE81" s="41"/>
    </row>
    <row r="82" spans="1:31" ht="72" x14ac:dyDescent="0.3">
      <c r="A82" s="1094"/>
      <c r="B82" s="6" t="s">
        <v>3</v>
      </c>
      <c r="C82" s="3" t="s">
        <v>39</v>
      </c>
      <c r="D82" s="23">
        <f>+R82+AD82</f>
        <v>150000</v>
      </c>
      <c r="E82" s="23"/>
      <c r="F82" s="74">
        <f t="shared" si="62"/>
        <v>150000</v>
      </c>
      <c r="G82" s="73">
        <f>+'F1,F2,F3,F4 (Desglose)'!H116</f>
        <v>0</v>
      </c>
      <c r="H82" s="73">
        <f>+'F1,F2,F3,F4 (Desglose)'!I116</f>
        <v>24610</v>
      </c>
      <c r="I82" s="73">
        <f>+'F1,F2,F3,F4 (Desglose)'!J116</f>
        <v>0</v>
      </c>
      <c r="J82" s="73">
        <f>+'F1,F2,F3,F4 (Desglose)'!K116</f>
        <v>0</v>
      </c>
      <c r="K82" s="73">
        <f>+'F1,F2,F3,F4 (Desglose)'!L116</f>
        <v>0</v>
      </c>
      <c r="L82" s="73">
        <f>+'F1,F2,F3,F4 (Desglose)'!M116</f>
        <v>0</v>
      </c>
      <c r="M82" s="73">
        <f>+'F1,F2,F3,F4 (Desglose)'!N116</f>
        <v>0</v>
      </c>
      <c r="N82" s="73">
        <f>+'F1,F2,F3,F4 (Desglose)'!O116</f>
        <v>20390</v>
      </c>
      <c r="O82" s="73">
        <f>+'F1,F2,F3,F4 (Desglose)'!P116</f>
        <v>0</v>
      </c>
      <c r="P82" s="73">
        <f>+'F1,F2,F3,F4 (Desglose)'!Q116</f>
        <v>25000</v>
      </c>
      <c r="Q82" s="73">
        <f>+'F1,F2,F3,F4 (Desglose)'!R116</f>
        <v>0</v>
      </c>
      <c r="R82" s="82">
        <f>SUM(G82:Q82)</f>
        <v>70000</v>
      </c>
      <c r="S82" s="96"/>
      <c r="T82" s="73"/>
      <c r="U82" s="73">
        <v>25000</v>
      </c>
      <c r="V82" s="73"/>
      <c r="W82" s="73">
        <v>5000</v>
      </c>
      <c r="X82" s="73"/>
      <c r="Y82" s="73">
        <v>5000</v>
      </c>
      <c r="Z82" s="73"/>
      <c r="AA82" s="73">
        <v>5000</v>
      </c>
      <c r="AB82" s="73"/>
      <c r="AC82" s="73">
        <v>40000</v>
      </c>
      <c r="AD82" s="82">
        <f>SUM(S82:AC82)</f>
        <v>80000</v>
      </c>
      <c r="AE82" s="24"/>
    </row>
    <row r="83" spans="1:31" ht="72" x14ac:dyDescent="0.3">
      <c r="A83" s="1094"/>
      <c r="B83" s="6" t="s">
        <v>4</v>
      </c>
      <c r="C83" s="3" t="s">
        <v>40</v>
      </c>
      <c r="D83" s="23">
        <f>+R83+AD83</f>
        <v>150000</v>
      </c>
      <c r="E83" s="23"/>
      <c r="F83" s="74">
        <f t="shared" si="62"/>
        <v>150000</v>
      </c>
      <c r="G83" s="73">
        <f>+'F1,F2,F3,F4 (Desglose)'!H117</f>
        <v>0</v>
      </c>
      <c r="H83" s="73">
        <f>+'F1,F2,F3,F4 (Desglose)'!I117</f>
        <v>0</v>
      </c>
      <c r="I83" s="73">
        <f>+'F1,F2,F3,F4 (Desglose)'!J117</f>
        <v>65000</v>
      </c>
      <c r="J83" s="73">
        <f>+'F1,F2,F3,F4 (Desglose)'!K117</f>
        <v>0</v>
      </c>
      <c r="K83" s="73">
        <f>+'F1,F2,F3,F4 (Desglose)'!L117</f>
        <v>0</v>
      </c>
      <c r="L83" s="73">
        <f>+'F1,F2,F3,F4 (Desglose)'!M117</f>
        <v>0</v>
      </c>
      <c r="M83" s="73">
        <f>+'F1,F2,F3,F4 (Desglose)'!N117</f>
        <v>0</v>
      </c>
      <c r="N83" s="73">
        <f>+'F1,F2,F3,F4 (Desglose)'!O117</f>
        <v>25000</v>
      </c>
      <c r="O83" s="73">
        <f>+'F1,F2,F3,F4 (Desglose)'!P117</f>
        <v>0</v>
      </c>
      <c r="P83" s="73">
        <f>+'F1,F2,F3,F4 (Desglose)'!Q117</f>
        <v>0</v>
      </c>
      <c r="Q83" s="73">
        <f>+'F1,F2,F3,F4 (Desglose)'!R117</f>
        <v>0</v>
      </c>
      <c r="R83" s="82">
        <f>SUM(G83:Q83)</f>
        <v>90000</v>
      </c>
      <c r="S83" s="73">
        <f>+'F1,F2,F3,F4 (Desglose)'!T117</f>
        <v>0</v>
      </c>
      <c r="T83" s="73">
        <f>+'F1,F2,F3,F4 (Desglose)'!U117</f>
        <v>0</v>
      </c>
      <c r="U83" s="73">
        <f>+'F1,F2,F3,F4 (Desglose)'!V117</f>
        <v>35000</v>
      </c>
      <c r="V83" s="73">
        <f>+'F1,F2,F3,F4 (Desglose)'!W117</f>
        <v>0</v>
      </c>
      <c r="W83" s="73">
        <f>+'F1,F2,F3,F4 (Desglose)'!X117</f>
        <v>0</v>
      </c>
      <c r="X83" s="73">
        <f>+'F1,F2,F3,F4 (Desglose)'!Y117</f>
        <v>0</v>
      </c>
      <c r="Y83" s="73">
        <f>+'F1,F2,F3,F4 (Desglose)'!Z117</f>
        <v>0</v>
      </c>
      <c r="Z83" s="73">
        <f>+'F1,F2,F3,F4 (Desglose)'!AA117</f>
        <v>0</v>
      </c>
      <c r="AA83" s="73">
        <f>+'F1,F2,F3,F4 (Desglose)'!AB117</f>
        <v>0</v>
      </c>
      <c r="AB83" s="73">
        <f>+'F1,F2,F3,F4 (Desglose)'!AC117</f>
        <v>0</v>
      </c>
      <c r="AC83" s="73">
        <f>+'F1,F2,F3,F4 (Desglose)'!AD117</f>
        <v>25000</v>
      </c>
      <c r="AD83" s="82">
        <f>SUM(S83:AC83)</f>
        <v>60000</v>
      </c>
      <c r="AE83" s="24"/>
    </row>
    <row r="84" spans="1:31" ht="17.399999999999999" x14ac:dyDescent="0.3">
      <c r="D84" s="29"/>
      <c r="E84" s="29"/>
      <c r="F84" s="29"/>
      <c r="R84" s="58"/>
      <c r="AE84" s="29"/>
    </row>
    <row r="85" spans="1:31" x14ac:dyDescent="0.3">
      <c r="F85" s="364"/>
    </row>
    <row r="86" spans="1:31" x14ac:dyDescent="0.3">
      <c r="F86" s="756"/>
    </row>
    <row r="114" spans="2:3" x14ac:dyDescent="0.3">
      <c r="B114" s="30"/>
      <c r="C114" s="110"/>
    </row>
  </sheetData>
  <mergeCells count="23">
    <mergeCell ref="A74:A76"/>
    <mergeCell ref="A69:A73"/>
    <mergeCell ref="A61:A65"/>
    <mergeCell ref="E5:E6"/>
    <mergeCell ref="A80:A83"/>
    <mergeCell ref="A40:C40"/>
    <mergeCell ref="A42:A45"/>
    <mergeCell ref="A46:A51"/>
    <mergeCell ref="A52:A57"/>
    <mergeCell ref="A58:A60"/>
    <mergeCell ref="A12:A16"/>
    <mergeCell ref="AE5:AE6"/>
    <mergeCell ref="F5:F6"/>
    <mergeCell ref="A66:C66"/>
    <mergeCell ref="A10:C10"/>
    <mergeCell ref="G5:Q5"/>
    <mergeCell ref="A17:A31"/>
    <mergeCell ref="A33:C33"/>
    <mergeCell ref="A34:A37"/>
    <mergeCell ref="R5:R6"/>
    <mergeCell ref="S5:AC5"/>
    <mergeCell ref="AD5:AD6"/>
    <mergeCell ref="D5:D6"/>
  </mergeCells>
  <phoneticPr fontId="2" type="noConversion"/>
  <printOptions horizontalCentered="1"/>
  <pageMargins left="0.23622047244094491" right="0.23622047244094491" top="0.74803149606299213" bottom="0.74803149606299213" header="0.31496062992125984" footer="0.31496062992125984"/>
  <pageSetup paperSize="345" scale="40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G144"/>
  <sheetViews>
    <sheetView zoomScale="60" zoomScaleNormal="60" workbookViewId="0">
      <pane xSplit="7" ySplit="7" topLeftCell="K101" activePane="bottomRight" state="frozen"/>
      <selection pane="topRight" activeCell="I1" sqref="I1"/>
      <selection pane="bottomLeft" activeCell="A8" sqref="A8"/>
      <selection pane="bottomRight" activeCell="E107" sqref="E107"/>
    </sheetView>
  </sheetViews>
  <sheetFormatPr baseColWidth="10" defaultRowHeight="14.4" x14ac:dyDescent="0.3"/>
  <cols>
    <col min="1" max="1" width="17" style="110" customWidth="1"/>
    <col min="2" max="2" width="6.5546875" style="190" customWidth="1"/>
    <col min="3" max="3" width="23.88671875" style="191" customWidth="1"/>
    <col min="4" max="4" width="32.109375" style="110" customWidth="1"/>
    <col min="5" max="5" width="26" style="4" customWidth="1"/>
    <col min="6" max="6" width="26.88671875" style="4" customWidth="1"/>
    <col min="7" max="7" width="27.33203125" style="4" customWidth="1"/>
    <col min="8" max="8" width="22.109375" style="4" customWidth="1"/>
    <col min="9" max="9" width="23.6640625" style="4" customWidth="1"/>
    <col min="10" max="10" width="23.44140625" style="4" customWidth="1"/>
    <col min="11" max="11" width="21.88671875" style="4" customWidth="1"/>
    <col min="12" max="12" width="21.6640625" style="4" customWidth="1"/>
    <col min="13" max="13" width="21.5546875" style="4" customWidth="1"/>
    <col min="14" max="14" width="22.109375" style="4" customWidth="1"/>
    <col min="15" max="15" width="22.6640625" style="4" customWidth="1"/>
    <col min="16" max="16" width="22.109375" style="4" customWidth="1"/>
    <col min="17" max="17" width="22.6640625" style="4" customWidth="1"/>
    <col min="18" max="18" width="21" style="4" customWidth="1"/>
    <col min="19" max="19" width="28.44140625" style="192" customWidth="1"/>
    <col min="20" max="20" width="21" style="4" customWidth="1"/>
    <col min="21" max="21" width="24.109375" style="4" customWidth="1"/>
    <col min="22" max="22" width="21.5546875" style="4" customWidth="1"/>
    <col min="23" max="23" width="21.33203125" style="4" customWidth="1"/>
    <col min="24" max="24" width="21.5546875" style="4" customWidth="1"/>
    <col min="25" max="25" width="22.6640625" style="4" customWidth="1"/>
    <col min="26" max="29" width="21" style="4" customWidth="1"/>
    <col min="30" max="30" width="22.109375" style="4" customWidth="1"/>
    <col min="31" max="31" width="25.5546875" style="192" bestFit="1" customWidth="1"/>
    <col min="32" max="32" width="32.44140625" style="30" bestFit="1" customWidth="1"/>
    <col min="33" max="33" width="42.5546875" style="4" customWidth="1"/>
    <col min="34" max="252" width="11.44140625" style="4"/>
    <col min="253" max="253" width="29.6640625" style="4" customWidth="1"/>
    <col min="254" max="254" width="6.5546875" style="4" customWidth="1"/>
    <col min="255" max="255" width="37" style="4" customWidth="1"/>
    <col min="256" max="256" width="8.88671875" style="4" customWidth="1"/>
    <col min="257" max="257" width="52.109375" style="4" customWidth="1"/>
    <col min="258" max="258" width="13.44140625" style="4" customWidth="1"/>
    <col min="259" max="259" width="22" style="4" bestFit="1" customWidth="1"/>
    <col min="260" max="260" width="24.44140625" style="4" bestFit="1" customWidth="1"/>
    <col min="261" max="261" width="26.33203125" style="4" customWidth="1"/>
    <col min="262" max="262" width="23.44140625" style="4" customWidth="1"/>
    <col min="263" max="263" width="21.88671875" style="4" customWidth="1"/>
    <col min="264" max="265" width="21.6640625" style="4" customWidth="1"/>
    <col min="266" max="266" width="21.5546875" style="4" bestFit="1" customWidth="1"/>
    <col min="267" max="267" width="22.109375" style="4" bestFit="1" customWidth="1"/>
    <col min="268" max="268" width="22.6640625" style="4" bestFit="1" customWidth="1"/>
    <col min="269" max="269" width="22.109375" style="4" bestFit="1" customWidth="1"/>
    <col min="270" max="270" width="22.6640625" style="4" bestFit="1" customWidth="1"/>
    <col min="271" max="271" width="21" style="4" bestFit="1" customWidth="1"/>
    <col min="272" max="272" width="28.44140625" style="4" customWidth="1"/>
    <col min="273" max="273" width="21" style="4" bestFit="1" customWidth="1"/>
    <col min="274" max="274" width="24.109375" style="4" bestFit="1" customWidth="1"/>
    <col min="275" max="275" width="21.5546875" style="4" customWidth="1"/>
    <col min="276" max="276" width="21.33203125" style="4" customWidth="1"/>
    <col min="277" max="277" width="21.5546875" style="4" bestFit="1" customWidth="1"/>
    <col min="278" max="278" width="22.6640625" style="4" bestFit="1" customWidth="1"/>
    <col min="279" max="282" width="21" style="4" bestFit="1" customWidth="1"/>
    <col min="283" max="283" width="22.109375" style="4" bestFit="1" customWidth="1"/>
    <col min="284" max="284" width="25.5546875" style="4" bestFit="1" customWidth="1"/>
    <col min="285" max="285" width="27.33203125" style="4" customWidth="1"/>
    <col min="286" max="286" width="26" style="4" customWidth="1"/>
    <col min="287" max="287" width="26.88671875" style="4" customWidth="1"/>
    <col min="288" max="288" width="32.44140625" style="4" bestFit="1" customWidth="1"/>
    <col min="289" max="508" width="11.44140625" style="4"/>
    <col min="509" max="509" width="29.6640625" style="4" customWidth="1"/>
    <col min="510" max="510" width="6.5546875" style="4" customWidth="1"/>
    <col min="511" max="511" width="37" style="4" customWidth="1"/>
    <col min="512" max="512" width="8.88671875" style="4" customWidth="1"/>
    <col min="513" max="513" width="52.109375" style="4" customWidth="1"/>
    <col min="514" max="514" width="13.44140625" style="4" customWidth="1"/>
    <col min="515" max="515" width="22" style="4" bestFit="1" customWidth="1"/>
    <col min="516" max="516" width="24.44140625" style="4" bestFit="1" customWidth="1"/>
    <col min="517" max="517" width="26.33203125" style="4" customWidth="1"/>
    <col min="518" max="518" width="23.44140625" style="4" customWidth="1"/>
    <col min="519" max="519" width="21.88671875" style="4" customWidth="1"/>
    <col min="520" max="521" width="21.6640625" style="4" customWidth="1"/>
    <col min="522" max="522" width="21.5546875" style="4" bestFit="1" customWidth="1"/>
    <col min="523" max="523" width="22.109375" style="4" bestFit="1" customWidth="1"/>
    <col min="524" max="524" width="22.6640625" style="4" bestFit="1" customWidth="1"/>
    <col min="525" max="525" width="22.109375" style="4" bestFit="1" customWidth="1"/>
    <col min="526" max="526" width="22.6640625" style="4" bestFit="1" customWidth="1"/>
    <col min="527" max="527" width="21" style="4" bestFit="1" customWidth="1"/>
    <col min="528" max="528" width="28.44140625" style="4" customWidth="1"/>
    <col min="529" max="529" width="21" style="4" bestFit="1" customWidth="1"/>
    <col min="530" max="530" width="24.109375" style="4" bestFit="1" customWidth="1"/>
    <col min="531" max="531" width="21.5546875" style="4" customWidth="1"/>
    <col min="532" max="532" width="21.33203125" style="4" customWidth="1"/>
    <col min="533" max="533" width="21.5546875" style="4" bestFit="1" customWidth="1"/>
    <col min="534" max="534" width="22.6640625" style="4" bestFit="1" customWidth="1"/>
    <col min="535" max="538" width="21" style="4" bestFit="1" customWidth="1"/>
    <col min="539" max="539" width="22.109375" style="4" bestFit="1" customWidth="1"/>
    <col min="540" max="540" width="25.5546875" style="4" bestFit="1" customWidth="1"/>
    <col min="541" max="541" width="27.33203125" style="4" customWidth="1"/>
    <col min="542" max="542" width="26" style="4" customWidth="1"/>
    <col min="543" max="543" width="26.88671875" style="4" customWidth="1"/>
    <col min="544" max="544" width="32.44140625" style="4" bestFit="1" customWidth="1"/>
    <col min="545" max="764" width="11.44140625" style="4"/>
    <col min="765" max="765" width="29.6640625" style="4" customWidth="1"/>
    <col min="766" max="766" width="6.5546875" style="4" customWidth="1"/>
    <col min="767" max="767" width="37" style="4" customWidth="1"/>
    <col min="768" max="768" width="8.88671875" style="4" customWidth="1"/>
    <col min="769" max="769" width="52.109375" style="4" customWidth="1"/>
    <col min="770" max="770" width="13.44140625" style="4" customWidth="1"/>
    <col min="771" max="771" width="22" style="4" bestFit="1" customWidth="1"/>
    <col min="772" max="772" width="24.44140625" style="4" bestFit="1" customWidth="1"/>
    <col min="773" max="773" width="26.33203125" style="4" customWidth="1"/>
    <col min="774" max="774" width="23.44140625" style="4" customWidth="1"/>
    <col min="775" max="775" width="21.88671875" style="4" customWidth="1"/>
    <col min="776" max="777" width="21.6640625" style="4" customWidth="1"/>
    <col min="778" max="778" width="21.5546875" style="4" bestFit="1" customWidth="1"/>
    <col min="779" max="779" width="22.109375" style="4" bestFit="1" customWidth="1"/>
    <col min="780" max="780" width="22.6640625" style="4" bestFit="1" customWidth="1"/>
    <col min="781" max="781" width="22.109375" style="4" bestFit="1" customWidth="1"/>
    <col min="782" max="782" width="22.6640625" style="4" bestFit="1" customWidth="1"/>
    <col min="783" max="783" width="21" style="4" bestFit="1" customWidth="1"/>
    <col min="784" max="784" width="28.44140625" style="4" customWidth="1"/>
    <col min="785" max="785" width="21" style="4" bestFit="1" customWidth="1"/>
    <col min="786" max="786" width="24.109375" style="4" bestFit="1" customWidth="1"/>
    <col min="787" max="787" width="21.5546875" style="4" customWidth="1"/>
    <col min="788" max="788" width="21.33203125" style="4" customWidth="1"/>
    <col min="789" max="789" width="21.5546875" style="4" bestFit="1" customWidth="1"/>
    <col min="790" max="790" width="22.6640625" style="4" bestFit="1" customWidth="1"/>
    <col min="791" max="794" width="21" style="4" bestFit="1" customWidth="1"/>
    <col min="795" max="795" width="22.109375" style="4" bestFit="1" customWidth="1"/>
    <col min="796" max="796" width="25.5546875" style="4" bestFit="1" customWidth="1"/>
    <col min="797" max="797" width="27.33203125" style="4" customWidth="1"/>
    <col min="798" max="798" width="26" style="4" customWidth="1"/>
    <col min="799" max="799" width="26.88671875" style="4" customWidth="1"/>
    <col min="800" max="800" width="32.44140625" style="4" bestFit="1" customWidth="1"/>
    <col min="801" max="1020" width="11.44140625" style="4"/>
    <col min="1021" max="1021" width="29.6640625" style="4" customWidth="1"/>
    <col min="1022" max="1022" width="6.5546875" style="4" customWidth="1"/>
    <col min="1023" max="1023" width="37" style="4" customWidth="1"/>
    <col min="1024" max="1024" width="8.88671875" style="4" customWidth="1"/>
    <col min="1025" max="1025" width="52.109375" style="4" customWidth="1"/>
    <col min="1026" max="1026" width="13.44140625" style="4" customWidth="1"/>
    <col min="1027" max="1027" width="22" style="4" bestFit="1" customWidth="1"/>
    <col min="1028" max="1028" width="24.44140625" style="4" bestFit="1" customWidth="1"/>
    <col min="1029" max="1029" width="26.33203125" style="4" customWidth="1"/>
    <col min="1030" max="1030" width="23.44140625" style="4" customWidth="1"/>
    <col min="1031" max="1031" width="21.88671875" style="4" customWidth="1"/>
    <col min="1032" max="1033" width="21.6640625" style="4" customWidth="1"/>
    <col min="1034" max="1034" width="21.5546875" style="4" bestFit="1" customWidth="1"/>
    <col min="1035" max="1035" width="22.109375" style="4" bestFit="1" customWidth="1"/>
    <col min="1036" max="1036" width="22.6640625" style="4" bestFit="1" customWidth="1"/>
    <col min="1037" max="1037" width="22.109375" style="4" bestFit="1" customWidth="1"/>
    <col min="1038" max="1038" width="22.6640625" style="4" bestFit="1" customWidth="1"/>
    <col min="1039" max="1039" width="21" style="4" bestFit="1" customWidth="1"/>
    <col min="1040" max="1040" width="28.44140625" style="4" customWidth="1"/>
    <col min="1041" max="1041" width="21" style="4" bestFit="1" customWidth="1"/>
    <col min="1042" max="1042" width="24.109375" style="4" bestFit="1" customWidth="1"/>
    <col min="1043" max="1043" width="21.5546875" style="4" customWidth="1"/>
    <col min="1044" max="1044" width="21.33203125" style="4" customWidth="1"/>
    <col min="1045" max="1045" width="21.5546875" style="4" bestFit="1" customWidth="1"/>
    <col min="1046" max="1046" width="22.6640625" style="4" bestFit="1" customWidth="1"/>
    <col min="1047" max="1050" width="21" style="4" bestFit="1" customWidth="1"/>
    <col min="1051" max="1051" width="22.109375" style="4" bestFit="1" customWidth="1"/>
    <col min="1052" max="1052" width="25.5546875" style="4" bestFit="1" customWidth="1"/>
    <col min="1053" max="1053" width="27.33203125" style="4" customWidth="1"/>
    <col min="1054" max="1054" width="26" style="4" customWidth="1"/>
    <col min="1055" max="1055" width="26.88671875" style="4" customWidth="1"/>
    <col min="1056" max="1056" width="32.44140625" style="4" bestFit="1" customWidth="1"/>
    <col min="1057" max="1276" width="11.44140625" style="4"/>
    <col min="1277" max="1277" width="29.6640625" style="4" customWidth="1"/>
    <col min="1278" max="1278" width="6.5546875" style="4" customWidth="1"/>
    <col min="1279" max="1279" width="37" style="4" customWidth="1"/>
    <col min="1280" max="1280" width="8.88671875" style="4" customWidth="1"/>
    <col min="1281" max="1281" width="52.109375" style="4" customWidth="1"/>
    <col min="1282" max="1282" width="13.44140625" style="4" customWidth="1"/>
    <col min="1283" max="1283" width="22" style="4" bestFit="1" customWidth="1"/>
    <col min="1284" max="1284" width="24.44140625" style="4" bestFit="1" customWidth="1"/>
    <col min="1285" max="1285" width="26.33203125" style="4" customWidth="1"/>
    <col min="1286" max="1286" width="23.44140625" style="4" customWidth="1"/>
    <col min="1287" max="1287" width="21.88671875" style="4" customWidth="1"/>
    <col min="1288" max="1289" width="21.6640625" style="4" customWidth="1"/>
    <col min="1290" max="1290" width="21.5546875" style="4" bestFit="1" customWidth="1"/>
    <col min="1291" max="1291" width="22.109375" style="4" bestFit="1" customWidth="1"/>
    <col min="1292" max="1292" width="22.6640625" style="4" bestFit="1" customWidth="1"/>
    <col min="1293" max="1293" width="22.109375" style="4" bestFit="1" customWidth="1"/>
    <col min="1294" max="1294" width="22.6640625" style="4" bestFit="1" customWidth="1"/>
    <col min="1295" max="1295" width="21" style="4" bestFit="1" customWidth="1"/>
    <col min="1296" max="1296" width="28.44140625" style="4" customWidth="1"/>
    <col min="1297" max="1297" width="21" style="4" bestFit="1" customWidth="1"/>
    <col min="1298" max="1298" width="24.109375" style="4" bestFit="1" customWidth="1"/>
    <col min="1299" max="1299" width="21.5546875" style="4" customWidth="1"/>
    <col min="1300" max="1300" width="21.33203125" style="4" customWidth="1"/>
    <col min="1301" max="1301" width="21.5546875" style="4" bestFit="1" customWidth="1"/>
    <col min="1302" max="1302" width="22.6640625" style="4" bestFit="1" customWidth="1"/>
    <col min="1303" max="1306" width="21" style="4" bestFit="1" customWidth="1"/>
    <col min="1307" max="1307" width="22.109375" style="4" bestFit="1" customWidth="1"/>
    <col min="1308" max="1308" width="25.5546875" style="4" bestFit="1" customWidth="1"/>
    <col min="1309" max="1309" width="27.33203125" style="4" customWidth="1"/>
    <col min="1310" max="1310" width="26" style="4" customWidth="1"/>
    <col min="1311" max="1311" width="26.88671875" style="4" customWidth="1"/>
    <col min="1312" max="1312" width="32.44140625" style="4" bestFit="1" customWidth="1"/>
    <col min="1313" max="1532" width="11.44140625" style="4"/>
    <col min="1533" max="1533" width="29.6640625" style="4" customWidth="1"/>
    <col min="1534" max="1534" width="6.5546875" style="4" customWidth="1"/>
    <col min="1535" max="1535" width="37" style="4" customWidth="1"/>
    <col min="1536" max="1536" width="8.88671875" style="4" customWidth="1"/>
    <col min="1537" max="1537" width="52.109375" style="4" customWidth="1"/>
    <col min="1538" max="1538" width="13.44140625" style="4" customWidth="1"/>
    <col min="1539" max="1539" width="22" style="4" bestFit="1" customWidth="1"/>
    <col min="1540" max="1540" width="24.44140625" style="4" bestFit="1" customWidth="1"/>
    <col min="1541" max="1541" width="26.33203125" style="4" customWidth="1"/>
    <col min="1542" max="1542" width="23.44140625" style="4" customWidth="1"/>
    <col min="1543" max="1543" width="21.88671875" style="4" customWidth="1"/>
    <col min="1544" max="1545" width="21.6640625" style="4" customWidth="1"/>
    <col min="1546" max="1546" width="21.5546875" style="4" bestFit="1" customWidth="1"/>
    <col min="1547" max="1547" width="22.109375" style="4" bestFit="1" customWidth="1"/>
    <col min="1548" max="1548" width="22.6640625" style="4" bestFit="1" customWidth="1"/>
    <col min="1549" max="1549" width="22.109375" style="4" bestFit="1" customWidth="1"/>
    <col min="1550" max="1550" width="22.6640625" style="4" bestFit="1" customWidth="1"/>
    <col min="1551" max="1551" width="21" style="4" bestFit="1" customWidth="1"/>
    <col min="1552" max="1552" width="28.44140625" style="4" customWidth="1"/>
    <col min="1553" max="1553" width="21" style="4" bestFit="1" customWidth="1"/>
    <col min="1554" max="1554" width="24.109375" style="4" bestFit="1" customWidth="1"/>
    <col min="1555" max="1555" width="21.5546875" style="4" customWidth="1"/>
    <col min="1556" max="1556" width="21.33203125" style="4" customWidth="1"/>
    <col min="1557" max="1557" width="21.5546875" style="4" bestFit="1" customWidth="1"/>
    <col min="1558" max="1558" width="22.6640625" style="4" bestFit="1" customWidth="1"/>
    <col min="1559" max="1562" width="21" style="4" bestFit="1" customWidth="1"/>
    <col min="1563" max="1563" width="22.109375" style="4" bestFit="1" customWidth="1"/>
    <col min="1564" max="1564" width="25.5546875" style="4" bestFit="1" customWidth="1"/>
    <col min="1565" max="1565" width="27.33203125" style="4" customWidth="1"/>
    <col min="1566" max="1566" width="26" style="4" customWidth="1"/>
    <col min="1567" max="1567" width="26.88671875" style="4" customWidth="1"/>
    <col min="1568" max="1568" width="32.44140625" style="4" bestFit="1" customWidth="1"/>
    <col min="1569" max="1788" width="11.44140625" style="4"/>
    <col min="1789" max="1789" width="29.6640625" style="4" customWidth="1"/>
    <col min="1790" max="1790" width="6.5546875" style="4" customWidth="1"/>
    <col min="1791" max="1791" width="37" style="4" customWidth="1"/>
    <col min="1792" max="1792" width="8.88671875" style="4" customWidth="1"/>
    <col min="1793" max="1793" width="52.109375" style="4" customWidth="1"/>
    <col min="1794" max="1794" width="13.44140625" style="4" customWidth="1"/>
    <col min="1795" max="1795" width="22" style="4" bestFit="1" customWidth="1"/>
    <col min="1796" max="1796" width="24.44140625" style="4" bestFit="1" customWidth="1"/>
    <col min="1797" max="1797" width="26.33203125" style="4" customWidth="1"/>
    <col min="1798" max="1798" width="23.44140625" style="4" customWidth="1"/>
    <col min="1799" max="1799" width="21.88671875" style="4" customWidth="1"/>
    <col min="1800" max="1801" width="21.6640625" style="4" customWidth="1"/>
    <col min="1802" max="1802" width="21.5546875" style="4" bestFit="1" customWidth="1"/>
    <col min="1803" max="1803" width="22.109375" style="4" bestFit="1" customWidth="1"/>
    <col min="1804" max="1804" width="22.6640625" style="4" bestFit="1" customWidth="1"/>
    <col min="1805" max="1805" width="22.109375" style="4" bestFit="1" customWidth="1"/>
    <col min="1806" max="1806" width="22.6640625" style="4" bestFit="1" customWidth="1"/>
    <col min="1807" max="1807" width="21" style="4" bestFit="1" customWidth="1"/>
    <col min="1808" max="1808" width="28.44140625" style="4" customWidth="1"/>
    <col min="1809" max="1809" width="21" style="4" bestFit="1" customWidth="1"/>
    <col min="1810" max="1810" width="24.109375" style="4" bestFit="1" customWidth="1"/>
    <col min="1811" max="1811" width="21.5546875" style="4" customWidth="1"/>
    <col min="1812" max="1812" width="21.33203125" style="4" customWidth="1"/>
    <col min="1813" max="1813" width="21.5546875" style="4" bestFit="1" customWidth="1"/>
    <col min="1814" max="1814" width="22.6640625" style="4" bestFit="1" customWidth="1"/>
    <col min="1815" max="1818" width="21" style="4" bestFit="1" customWidth="1"/>
    <col min="1819" max="1819" width="22.109375" style="4" bestFit="1" customWidth="1"/>
    <col min="1820" max="1820" width="25.5546875" style="4" bestFit="1" customWidth="1"/>
    <col min="1821" max="1821" width="27.33203125" style="4" customWidth="1"/>
    <col min="1822" max="1822" width="26" style="4" customWidth="1"/>
    <col min="1823" max="1823" width="26.88671875" style="4" customWidth="1"/>
    <col min="1824" max="1824" width="32.44140625" style="4" bestFit="1" customWidth="1"/>
    <col min="1825" max="2044" width="11.44140625" style="4"/>
    <col min="2045" max="2045" width="29.6640625" style="4" customWidth="1"/>
    <col min="2046" max="2046" width="6.5546875" style="4" customWidth="1"/>
    <col min="2047" max="2047" width="37" style="4" customWidth="1"/>
    <col min="2048" max="2048" width="8.88671875" style="4" customWidth="1"/>
    <col min="2049" max="2049" width="52.109375" style="4" customWidth="1"/>
    <col min="2050" max="2050" width="13.44140625" style="4" customWidth="1"/>
    <col min="2051" max="2051" width="22" style="4" bestFit="1" customWidth="1"/>
    <col min="2052" max="2052" width="24.44140625" style="4" bestFit="1" customWidth="1"/>
    <col min="2053" max="2053" width="26.33203125" style="4" customWidth="1"/>
    <col min="2054" max="2054" width="23.44140625" style="4" customWidth="1"/>
    <col min="2055" max="2055" width="21.88671875" style="4" customWidth="1"/>
    <col min="2056" max="2057" width="21.6640625" style="4" customWidth="1"/>
    <col min="2058" max="2058" width="21.5546875" style="4" bestFit="1" customWidth="1"/>
    <col min="2059" max="2059" width="22.109375" style="4" bestFit="1" customWidth="1"/>
    <col min="2060" max="2060" width="22.6640625" style="4" bestFit="1" customWidth="1"/>
    <col min="2061" max="2061" width="22.109375" style="4" bestFit="1" customWidth="1"/>
    <col min="2062" max="2062" width="22.6640625" style="4" bestFit="1" customWidth="1"/>
    <col min="2063" max="2063" width="21" style="4" bestFit="1" customWidth="1"/>
    <col min="2064" max="2064" width="28.44140625" style="4" customWidth="1"/>
    <col min="2065" max="2065" width="21" style="4" bestFit="1" customWidth="1"/>
    <col min="2066" max="2066" width="24.109375" style="4" bestFit="1" customWidth="1"/>
    <col min="2067" max="2067" width="21.5546875" style="4" customWidth="1"/>
    <col min="2068" max="2068" width="21.33203125" style="4" customWidth="1"/>
    <col min="2069" max="2069" width="21.5546875" style="4" bestFit="1" customWidth="1"/>
    <col min="2070" max="2070" width="22.6640625" style="4" bestFit="1" customWidth="1"/>
    <col min="2071" max="2074" width="21" style="4" bestFit="1" customWidth="1"/>
    <col min="2075" max="2075" width="22.109375" style="4" bestFit="1" customWidth="1"/>
    <col min="2076" max="2076" width="25.5546875" style="4" bestFit="1" customWidth="1"/>
    <col min="2077" max="2077" width="27.33203125" style="4" customWidth="1"/>
    <col min="2078" max="2078" width="26" style="4" customWidth="1"/>
    <col min="2079" max="2079" width="26.88671875" style="4" customWidth="1"/>
    <col min="2080" max="2080" width="32.44140625" style="4" bestFit="1" customWidth="1"/>
    <col min="2081" max="2300" width="11.44140625" style="4"/>
    <col min="2301" max="2301" width="29.6640625" style="4" customWidth="1"/>
    <col min="2302" max="2302" width="6.5546875" style="4" customWidth="1"/>
    <col min="2303" max="2303" width="37" style="4" customWidth="1"/>
    <col min="2304" max="2304" width="8.88671875" style="4" customWidth="1"/>
    <col min="2305" max="2305" width="52.109375" style="4" customWidth="1"/>
    <col min="2306" max="2306" width="13.44140625" style="4" customWidth="1"/>
    <col min="2307" max="2307" width="22" style="4" bestFit="1" customWidth="1"/>
    <col min="2308" max="2308" width="24.44140625" style="4" bestFit="1" customWidth="1"/>
    <col min="2309" max="2309" width="26.33203125" style="4" customWidth="1"/>
    <col min="2310" max="2310" width="23.44140625" style="4" customWidth="1"/>
    <col min="2311" max="2311" width="21.88671875" style="4" customWidth="1"/>
    <col min="2312" max="2313" width="21.6640625" style="4" customWidth="1"/>
    <col min="2314" max="2314" width="21.5546875" style="4" bestFit="1" customWidth="1"/>
    <col min="2315" max="2315" width="22.109375" style="4" bestFit="1" customWidth="1"/>
    <col min="2316" max="2316" width="22.6640625" style="4" bestFit="1" customWidth="1"/>
    <col min="2317" max="2317" width="22.109375" style="4" bestFit="1" customWidth="1"/>
    <col min="2318" max="2318" width="22.6640625" style="4" bestFit="1" customWidth="1"/>
    <col min="2319" max="2319" width="21" style="4" bestFit="1" customWidth="1"/>
    <col min="2320" max="2320" width="28.44140625" style="4" customWidth="1"/>
    <col min="2321" max="2321" width="21" style="4" bestFit="1" customWidth="1"/>
    <col min="2322" max="2322" width="24.109375" style="4" bestFit="1" customWidth="1"/>
    <col min="2323" max="2323" width="21.5546875" style="4" customWidth="1"/>
    <col min="2324" max="2324" width="21.33203125" style="4" customWidth="1"/>
    <col min="2325" max="2325" width="21.5546875" style="4" bestFit="1" customWidth="1"/>
    <col min="2326" max="2326" width="22.6640625" style="4" bestFit="1" customWidth="1"/>
    <col min="2327" max="2330" width="21" style="4" bestFit="1" customWidth="1"/>
    <col min="2331" max="2331" width="22.109375" style="4" bestFit="1" customWidth="1"/>
    <col min="2332" max="2332" width="25.5546875" style="4" bestFit="1" customWidth="1"/>
    <col min="2333" max="2333" width="27.33203125" style="4" customWidth="1"/>
    <col min="2334" max="2334" width="26" style="4" customWidth="1"/>
    <col min="2335" max="2335" width="26.88671875" style="4" customWidth="1"/>
    <col min="2336" max="2336" width="32.44140625" style="4" bestFit="1" customWidth="1"/>
    <col min="2337" max="2556" width="11.44140625" style="4"/>
    <col min="2557" max="2557" width="29.6640625" style="4" customWidth="1"/>
    <col min="2558" max="2558" width="6.5546875" style="4" customWidth="1"/>
    <col min="2559" max="2559" width="37" style="4" customWidth="1"/>
    <col min="2560" max="2560" width="8.88671875" style="4" customWidth="1"/>
    <col min="2561" max="2561" width="52.109375" style="4" customWidth="1"/>
    <col min="2562" max="2562" width="13.44140625" style="4" customWidth="1"/>
    <col min="2563" max="2563" width="22" style="4" bestFit="1" customWidth="1"/>
    <col min="2564" max="2564" width="24.44140625" style="4" bestFit="1" customWidth="1"/>
    <col min="2565" max="2565" width="26.33203125" style="4" customWidth="1"/>
    <col min="2566" max="2566" width="23.44140625" style="4" customWidth="1"/>
    <col min="2567" max="2567" width="21.88671875" style="4" customWidth="1"/>
    <col min="2568" max="2569" width="21.6640625" style="4" customWidth="1"/>
    <col min="2570" max="2570" width="21.5546875" style="4" bestFit="1" customWidth="1"/>
    <col min="2571" max="2571" width="22.109375" style="4" bestFit="1" customWidth="1"/>
    <col min="2572" max="2572" width="22.6640625" style="4" bestFit="1" customWidth="1"/>
    <col min="2573" max="2573" width="22.109375" style="4" bestFit="1" customWidth="1"/>
    <col min="2574" max="2574" width="22.6640625" style="4" bestFit="1" customWidth="1"/>
    <col min="2575" max="2575" width="21" style="4" bestFit="1" customWidth="1"/>
    <col min="2576" max="2576" width="28.44140625" style="4" customWidth="1"/>
    <col min="2577" max="2577" width="21" style="4" bestFit="1" customWidth="1"/>
    <col min="2578" max="2578" width="24.109375" style="4" bestFit="1" customWidth="1"/>
    <col min="2579" max="2579" width="21.5546875" style="4" customWidth="1"/>
    <col min="2580" max="2580" width="21.33203125" style="4" customWidth="1"/>
    <col min="2581" max="2581" width="21.5546875" style="4" bestFit="1" customWidth="1"/>
    <col min="2582" max="2582" width="22.6640625" style="4" bestFit="1" customWidth="1"/>
    <col min="2583" max="2586" width="21" style="4" bestFit="1" customWidth="1"/>
    <col min="2587" max="2587" width="22.109375" style="4" bestFit="1" customWidth="1"/>
    <col min="2588" max="2588" width="25.5546875" style="4" bestFit="1" customWidth="1"/>
    <col min="2589" max="2589" width="27.33203125" style="4" customWidth="1"/>
    <col min="2590" max="2590" width="26" style="4" customWidth="1"/>
    <col min="2591" max="2591" width="26.88671875" style="4" customWidth="1"/>
    <col min="2592" max="2592" width="32.44140625" style="4" bestFit="1" customWidth="1"/>
    <col min="2593" max="2812" width="11.44140625" style="4"/>
    <col min="2813" max="2813" width="29.6640625" style="4" customWidth="1"/>
    <col min="2814" max="2814" width="6.5546875" style="4" customWidth="1"/>
    <col min="2815" max="2815" width="37" style="4" customWidth="1"/>
    <col min="2816" max="2816" width="8.88671875" style="4" customWidth="1"/>
    <col min="2817" max="2817" width="52.109375" style="4" customWidth="1"/>
    <col min="2818" max="2818" width="13.44140625" style="4" customWidth="1"/>
    <col min="2819" max="2819" width="22" style="4" bestFit="1" customWidth="1"/>
    <col min="2820" max="2820" width="24.44140625" style="4" bestFit="1" customWidth="1"/>
    <col min="2821" max="2821" width="26.33203125" style="4" customWidth="1"/>
    <col min="2822" max="2822" width="23.44140625" style="4" customWidth="1"/>
    <col min="2823" max="2823" width="21.88671875" style="4" customWidth="1"/>
    <col min="2824" max="2825" width="21.6640625" style="4" customWidth="1"/>
    <col min="2826" max="2826" width="21.5546875" style="4" bestFit="1" customWidth="1"/>
    <col min="2827" max="2827" width="22.109375" style="4" bestFit="1" customWidth="1"/>
    <col min="2828" max="2828" width="22.6640625" style="4" bestFit="1" customWidth="1"/>
    <col min="2829" max="2829" width="22.109375" style="4" bestFit="1" customWidth="1"/>
    <col min="2830" max="2830" width="22.6640625" style="4" bestFit="1" customWidth="1"/>
    <col min="2831" max="2831" width="21" style="4" bestFit="1" customWidth="1"/>
    <col min="2832" max="2832" width="28.44140625" style="4" customWidth="1"/>
    <col min="2833" max="2833" width="21" style="4" bestFit="1" customWidth="1"/>
    <col min="2834" max="2834" width="24.109375" style="4" bestFit="1" customWidth="1"/>
    <col min="2835" max="2835" width="21.5546875" style="4" customWidth="1"/>
    <col min="2836" max="2836" width="21.33203125" style="4" customWidth="1"/>
    <col min="2837" max="2837" width="21.5546875" style="4" bestFit="1" customWidth="1"/>
    <col min="2838" max="2838" width="22.6640625" style="4" bestFit="1" customWidth="1"/>
    <col min="2839" max="2842" width="21" style="4" bestFit="1" customWidth="1"/>
    <col min="2843" max="2843" width="22.109375" style="4" bestFit="1" customWidth="1"/>
    <col min="2844" max="2844" width="25.5546875" style="4" bestFit="1" customWidth="1"/>
    <col min="2845" max="2845" width="27.33203125" style="4" customWidth="1"/>
    <col min="2846" max="2846" width="26" style="4" customWidth="1"/>
    <col min="2847" max="2847" width="26.88671875" style="4" customWidth="1"/>
    <col min="2848" max="2848" width="32.44140625" style="4" bestFit="1" customWidth="1"/>
    <col min="2849" max="3068" width="11.44140625" style="4"/>
    <col min="3069" max="3069" width="29.6640625" style="4" customWidth="1"/>
    <col min="3070" max="3070" width="6.5546875" style="4" customWidth="1"/>
    <col min="3071" max="3071" width="37" style="4" customWidth="1"/>
    <col min="3072" max="3072" width="8.88671875" style="4" customWidth="1"/>
    <col min="3073" max="3073" width="52.109375" style="4" customWidth="1"/>
    <col min="3074" max="3074" width="13.44140625" style="4" customWidth="1"/>
    <col min="3075" max="3075" width="22" style="4" bestFit="1" customWidth="1"/>
    <col min="3076" max="3076" width="24.44140625" style="4" bestFit="1" customWidth="1"/>
    <col min="3077" max="3077" width="26.33203125" style="4" customWidth="1"/>
    <col min="3078" max="3078" width="23.44140625" style="4" customWidth="1"/>
    <col min="3079" max="3079" width="21.88671875" style="4" customWidth="1"/>
    <col min="3080" max="3081" width="21.6640625" style="4" customWidth="1"/>
    <col min="3082" max="3082" width="21.5546875" style="4" bestFit="1" customWidth="1"/>
    <col min="3083" max="3083" width="22.109375" style="4" bestFit="1" customWidth="1"/>
    <col min="3084" max="3084" width="22.6640625" style="4" bestFit="1" customWidth="1"/>
    <col min="3085" max="3085" width="22.109375" style="4" bestFit="1" customWidth="1"/>
    <col min="3086" max="3086" width="22.6640625" style="4" bestFit="1" customWidth="1"/>
    <col min="3087" max="3087" width="21" style="4" bestFit="1" customWidth="1"/>
    <col min="3088" max="3088" width="28.44140625" style="4" customWidth="1"/>
    <col min="3089" max="3089" width="21" style="4" bestFit="1" customWidth="1"/>
    <col min="3090" max="3090" width="24.109375" style="4" bestFit="1" customWidth="1"/>
    <col min="3091" max="3091" width="21.5546875" style="4" customWidth="1"/>
    <col min="3092" max="3092" width="21.33203125" style="4" customWidth="1"/>
    <col min="3093" max="3093" width="21.5546875" style="4" bestFit="1" customWidth="1"/>
    <col min="3094" max="3094" width="22.6640625" style="4" bestFit="1" customWidth="1"/>
    <col min="3095" max="3098" width="21" style="4" bestFit="1" customWidth="1"/>
    <col min="3099" max="3099" width="22.109375" style="4" bestFit="1" customWidth="1"/>
    <col min="3100" max="3100" width="25.5546875" style="4" bestFit="1" customWidth="1"/>
    <col min="3101" max="3101" width="27.33203125" style="4" customWidth="1"/>
    <col min="3102" max="3102" width="26" style="4" customWidth="1"/>
    <col min="3103" max="3103" width="26.88671875" style="4" customWidth="1"/>
    <col min="3104" max="3104" width="32.44140625" style="4" bestFit="1" customWidth="1"/>
    <col min="3105" max="3324" width="11.44140625" style="4"/>
    <col min="3325" max="3325" width="29.6640625" style="4" customWidth="1"/>
    <col min="3326" max="3326" width="6.5546875" style="4" customWidth="1"/>
    <col min="3327" max="3327" width="37" style="4" customWidth="1"/>
    <col min="3328" max="3328" width="8.88671875" style="4" customWidth="1"/>
    <col min="3329" max="3329" width="52.109375" style="4" customWidth="1"/>
    <col min="3330" max="3330" width="13.44140625" style="4" customWidth="1"/>
    <col min="3331" max="3331" width="22" style="4" bestFit="1" customWidth="1"/>
    <col min="3332" max="3332" width="24.44140625" style="4" bestFit="1" customWidth="1"/>
    <col min="3333" max="3333" width="26.33203125" style="4" customWidth="1"/>
    <col min="3334" max="3334" width="23.44140625" style="4" customWidth="1"/>
    <col min="3335" max="3335" width="21.88671875" style="4" customWidth="1"/>
    <col min="3336" max="3337" width="21.6640625" style="4" customWidth="1"/>
    <col min="3338" max="3338" width="21.5546875" style="4" bestFit="1" customWidth="1"/>
    <col min="3339" max="3339" width="22.109375" style="4" bestFit="1" customWidth="1"/>
    <col min="3340" max="3340" width="22.6640625" style="4" bestFit="1" customWidth="1"/>
    <col min="3341" max="3341" width="22.109375" style="4" bestFit="1" customWidth="1"/>
    <col min="3342" max="3342" width="22.6640625" style="4" bestFit="1" customWidth="1"/>
    <col min="3343" max="3343" width="21" style="4" bestFit="1" customWidth="1"/>
    <col min="3344" max="3344" width="28.44140625" style="4" customWidth="1"/>
    <col min="3345" max="3345" width="21" style="4" bestFit="1" customWidth="1"/>
    <col min="3346" max="3346" width="24.109375" style="4" bestFit="1" customWidth="1"/>
    <col min="3347" max="3347" width="21.5546875" style="4" customWidth="1"/>
    <col min="3348" max="3348" width="21.33203125" style="4" customWidth="1"/>
    <col min="3349" max="3349" width="21.5546875" style="4" bestFit="1" customWidth="1"/>
    <col min="3350" max="3350" width="22.6640625" style="4" bestFit="1" customWidth="1"/>
    <col min="3351" max="3354" width="21" style="4" bestFit="1" customWidth="1"/>
    <col min="3355" max="3355" width="22.109375" style="4" bestFit="1" customWidth="1"/>
    <col min="3356" max="3356" width="25.5546875" style="4" bestFit="1" customWidth="1"/>
    <col min="3357" max="3357" width="27.33203125" style="4" customWidth="1"/>
    <col min="3358" max="3358" width="26" style="4" customWidth="1"/>
    <col min="3359" max="3359" width="26.88671875" style="4" customWidth="1"/>
    <col min="3360" max="3360" width="32.44140625" style="4" bestFit="1" customWidth="1"/>
    <col min="3361" max="3580" width="11.44140625" style="4"/>
    <col min="3581" max="3581" width="29.6640625" style="4" customWidth="1"/>
    <col min="3582" max="3582" width="6.5546875" style="4" customWidth="1"/>
    <col min="3583" max="3583" width="37" style="4" customWidth="1"/>
    <col min="3584" max="3584" width="8.88671875" style="4" customWidth="1"/>
    <col min="3585" max="3585" width="52.109375" style="4" customWidth="1"/>
    <col min="3586" max="3586" width="13.44140625" style="4" customWidth="1"/>
    <col min="3587" max="3587" width="22" style="4" bestFit="1" customWidth="1"/>
    <col min="3588" max="3588" width="24.44140625" style="4" bestFit="1" customWidth="1"/>
    <col min="3589" max="3589" width="26.33203125" style="4" customWidth="1"/>
    <col min="3590" max="3590" width="23.44140625" style="4" customWidth="1"/>
    <col min="3591" max="3591" width="21.88671875" style="4" customWidth="1"/>
    <col min="3592" max="3593" width="21.6640625" style="4" customWidth="1"/>
    <col min="3594" max="3594" width="21.5546875" style="4" bestFit="1" customWidth="1"/>
    <col min="3595" max="3595" width="22.109375" style="4" bestFit="1" customWidth="1"/>
    <col min="3596" max="3596" width="22.6640625" style="4" bestFit="1" customWidth="1"/>
    <col min="3597" max="3597" width="22.109375" style="4" bestFit="1" customWidth="1"/>
    <col min="3598" max="3598" width="22.6640625" style="4" bestFit="1" customWidth="1"/>
    <col min="3599" max="3599" width="21" style="4" bestFit="1" customWidth="1"/>
    <col min="3600" max="3600" width="28.44140625" style="4" customWidth="1"/>
    <col min="3601" max="3601" width="21" style="4" bestFit="1" customWidth="1"/>
    <col min="3602" max="3602" width="24.109375" style="4" bestFit="1" customWidth="1"/>
    <col min="3603" max="3603" width="21.5546875" style="4" customWidth="1"/>
    <col min="3604" max="3604" width="21.33203125" style="4" customWidth="1"/>
    <col min="3605" max="3605" width="21.5546875" style="4" bestFit="1" customWidth="1"/>
    <col min="3606" max="3606" width="22.6640625" style="4" bestFit="1" customWidth="1"/>
    <col min="3607" max="3610" width="21" style="4" bestFit="1" customWidth="1"/>
    <col min="3611" max="3611" width="22.109375" style="4" bestFit="1" customWidth="1"/>
    <col min="3612" max="3612" width="25.5546875" style="4" bestFit="1" customWidth="1"/>
    <col min="3613" max="3613" width="27.33203125" style="4" customWidth="1"/>
    <col min="3614" max="3614" width="26" style="4" customWidth="1"/>
    <col min="3615" max="3615" width="26.88671875" style="4" customWidth="1"/>
    <col min="3616" max="3616" width="32.44140625" style="4" bestFit="1" customWidth="1"/>
    <col min="3617" max="3836" width="11.44140625" style="4"/>
    <col min="3837" max="3837" width="29.6640625" style="4" customWidth="1"/>
    <col min="3838" max="3838" width="6.5546875" style="4" customWidth="1"/>
    <col min="3839" max="3839" width="37" style="4" customWidth="1"/>
    <col min="3840" max="3840" width="8.88671875" style="4" customWidth="1"/>
    <col min="3841" max="3841" width="52.109375" style="4" customWidth="1"/>
    <col min="3842" max="3842" width="13.44140625" style="4" customWidth="1"/>
    <col min="3843" max="3843" width="22" style="4" bestFit="1" customWidth="1"/>
    <col min="3844" max="3844" width="24.44140625" style="4" bestFit="1" customWidth="1"/>
    <col min="3845" max="3845" width="26.33203125" style="4" customWidth="1"/>
    <col min="3846" max="3846" width="23.44140625" style="4" customWidth="1"/>
    <col min="3847" max="3847" width="21.88671875" style="4" customWidth="1"/>
    <col min="3848" max="3849" width="21.6640625" style="4" customWidth="1"/>
    <col min="3850" max="3850" width="21.5546875" style="4" bestFit="1" customWidth="1"/>
    <col min="3851" max="3851" width="22.109375" style="4" bestFit="1" customWidth="1"/>
    <col min="3852" max="3852" width="22.6640625" style="4" bestFit="1" customWidth="1"/>
    <col min="3853" max="3853" width="22.109375" style="4" bestFit="1" customWidth="1"/>
    <col min="3854" max="3854" width="22.6640625" style="4" bestFit="1" customWidth="1"/>
    <col min="3855" max="3855" width="21" style="4" bestFit="1" customWidth="1"/>
    <col min="3856" max="3856" width="28.44140625" style="4" customWidth="1"/>
    <col min="3857" max="3857" width="21" style="4" bestFit="1" customWidth="1"/>
    <col min="3858" max="3858" width="24.109375" style="4" bestFit="1" customWidth="1"/>
    <col min="3859" max="3859" width="21.5546875" style="4" customWidth="1"/>
    <col min="3860" max="3860" width="21.33203125" style="4" customWidth="1"/>
    <col min="3861" max="3861" width="21.5546875" style="4" bestFit="1" customWidth="1"/>
    <col min="3862" max="3862" width="22.6640625" style="4" bestFit="1" customWidth="1"/>
    <col min="3863" max="3866" width="21" style="4" bestFit="1" customWidth="1"/>
    <col min="3867" max="3867" width="22.109375" style="4" bestFit="1" customWidth="1"/>
    <col min="3868" max="3868" width="25.5546875" style="4" bestFit="1" customWidth="1"/>
    <col min="3869" max="3869" width="27.33203125" style="4" customWidth="1"/>
    <col min="3870" max="3870" width="26" style="4" customWidth="1"/>
    <col min="3871" max="3871" width="26.88671875" style="4" customWidth="1"/>
    <col min="3872" max="3872" width="32.44140625" style="4" bestFit="1" customWidth="1"/>
    <col min="3873" max="4092" width="11.44140625" style="4"/>
    <col min="4093" max="4093" width="29.6640625" style="4" customWidth="1"/>
    <col min="4094" max="4094" width="6.5546875" style="4" customWidth="1"/>
    <col min="4095" max="4095" width="37" style="4" customWidth="1"/>
    <col min="4096" max="4096" width="8.88671875" style="4" customWidth="1"/>
    <col min="4097" max="4097" width="52.109375" style="4" customWidth="1"/>
    <col min="4098" max="4098" width="13.44140625" style="4" customWidth="1"/>
    <col min="4099" max="4099" width="22" style="4" bestFit="1" customWidth="1"/>
    <col min="4100" max="4100" width="24.44140625" style="4" bestFit="1" customWidth="1"/>
    <col min="4101" max="4101" width="26.33203125" style="4" customWidth="1"/>
    <col min="4102" max="4102" width="23.44140625" style="4" customWidth="1"/>
    <col min="4103" max="4103" width="21.88671875" style="4" customWidth="1"/>
    <col min="4104" max="4105" width="21.6640625" style="4" customWidth="1"/>
    <col min="4106" max="4106" width="21.5546875" style="4" bestFit="1" customWidth="1"/>
    <col min="4107" max="4107" width="22.109375" style="4" bestFit="1" customWidth="1"/>
    <col min="4108" max="4108" width="22.6640625" style="4" bestFit="1" customWidth="1"/>
    <col min="4109" max="4109" width="22.109375" style="4" bestFit="1" customWidth="1"/>
    <col min="4110" max="4110" width="22.6640625" style="4" bestFit="1" customWidth="1"/>
    <col min="4111" max="4111" width="21" style="4" bestFit="1" customWidth="1"/>
    <col min="4112" max="4112" width="28.44140625" style="4" customWidth="1"/>
    <col min="4113" max="4113" width="21" style="4" bestFit="1" customWidth="1"/>
    <col min="4114" max="4114" width="24.109375" style="4" bestFit="1" customWidth="1"/>
    <col min="4115" max="4115" width="21.5546875" style="4" customWidth="1"/>
    <col min="4116" max="4116" width="21.33203125" style="4" customWidth="1"/>
    <col min="4117" max="4117" width="21.5546875" style="4" bestFit="1" customWidth="1"/>
    <col min="4118" max="4118" width="22.6640625" style="4" bestFit="1" customWidth="1"/>
    <col min="4119" max="4122" width="21" style="4" bestFit="1" customWidth="1"/>
    <col min="4123" max="4123" width="22.109375" style="4" bestFit="1" customWidth="1"/>
    <col min="4124" max="4124" width="25.5546875" style="4" bestFit="1" customWidth="1"/>
    <col min="4125" max="4125" width="27.33203125" style="4" customWidth="1"/>
    <col min="4126" max="4126" width="26" style="4" customWidth="1"/>
    <col min="4127" max="4127" width="26.88671875" style="4" customWidth="1"/>
    <col min="4128" max="4128" width="32.44140625" style="4" bestFit="1" customWidth="1"/>
    <col min="4129" max="4348" width="11.44140625" style="4"/>
    <col min="4349" max="4349" width="29.6640625" style="4" customWidth="1"/>
    <col min="4350" max="4350" width="6.5546875" style="4" customWidth="1"/>
    <col min="4351" max="4351" width="37" style="4" customWidth="1"/>
    <col min="4352" max="4352" width="8.88671875" style="4" customWidth="1"/>
    <col min="4353" max="4353" width="52.109375" style="4" customWidth="1"/>
    <col min="4354" max="4354" width="13.44140625" style="4" customWidth="1"/>
    <col min="4355" max="4355" width="22" style="4" bestFit="1" customWidth="1"/>
    <col min="4356" max="4356" width="24.44140625" style="4" bestFit="1" customWidth="1"/>
    <col min="4357" max="4357" width="26.33203125" style="4" customWidth="1"/>
    <col min="4358" max="4358" width="23.44140625" style="4" customWidth="1"/>
    <col min="4359" max="4359" width="21.88671875" style="4" customWidth="1"/>
    <col min="4360" max="4361" width="21.6640625" style="4" customWidth="1"/>
    <col min="4362" max="4362" width="21.5546875" style="4" bestFit="1" customWidth="1"/>
    <col min="4363" max="4363" width="22.109375" style="4" bestFit="1" customWidth="1"/>
    <col min="4364" max="4364" width="22.6640625" style="4" bestFit="1" customWidth="1"/>
    <col min="4365" max="4365" width="22.109375" style="4" bestFit="1" customWidth="1"/>
    <col min="4366" max="4366" width="22.6640625" style="4" bestFit="1" customWidth="1"/>
    <col min="4367" max="4367" width="21" style="4" bestFit="1" customWidth="1"/>
    <col min="4368" max="4368" width="28.44140625" style="4" customWidth="1"/>
    <col min="4369" max="4369" width="21" style="4" bestFit="1" customWidth="1"/>
    <col min="4370" max="4370" width="24.109375" style="4" bestFit="1" customWidth="1"/>
    <col min="4371" max="4371" width="21.5546875" style="4" customWidth="1"/>
    <col min="4372" max="4372" width="21.33203125" style="4" customWidth="1"/>
    <col min="4373" max="4373" width="21.5546875" style="4" bestFit="1" customWidth="1"/>
    <col min="4374" max="4374" width="22.6640625" style="4" bestFit="1" customWidth="1"/>
    <col min="4375" max="4378" width="21" style="4" bestFit="1" customWidth="1"/>
    <col min="4379" max="4379" width="22.109375" style="4" bestFit="1" customWidth="1"/>
    <col min="4380" max="4380" width="25.5546875" style="4" bestFit="1" customWidth="1"/>
    <col min="4381" max="4381" width="27.33203125" style="4" customWidth="1"/>
    <col min="4382" max="4382" width="26" style="4" customWidth="1"/>
    <col min="4383" max="4383" width="26.88671875" style="4" customWidth="1"/>
    <col min="4384" max="4384" width="32.44140625" style="4" bestFit="1" customWidth="1"/>
    <col min="4385" max="4604" width="11.44140625" style="4"/>
    <col min="4605" max="4605" width="29.6640625" style="4" customWidth="1"/>
    <col min="4606" max="4606" width="6.5546875" style="4" customWidth="1"/>
    <col min="4607" max="4607" width="37" style="4" customWidth="1"/>
    <col min="4608" max="4608" width="8.88671875" style="4" customWidth="1"/>
    <col min="4609" max="4609" width="52.109375" style="4" customWidth="1"/>
    <col min="4610" max="4610" width="13.44140625" style="4" customWidth="1"/>
    <col min="4611" max="4611" width="22" style="4" bestFit="1" customWidth="1"/>
    <col min="4612" max="4612" width="24.44140625" style="4" bestFit="1" customWidth="1"/>
    <col min="4613" max="4613" width="26.33203125" style="4" customWidth="1"/>
    <col min="4614" max="4614" width="23.44140625" style="4" customWidth="1"/>
    <col min="4615" max="4615" width="21.88671875" style="4" customWidth="1"/>
    <col min="4616" max="4617" width="21.6640625" style="4" customWidth="1"/>
    <col min="4618" max="4618" width="21.5546875" style="4" bestFit="1" customWidth="1"/>
    <col min="4619" max="4619" width="22.109375" style="4" bestFit="1" customWidth="1"/>
    <col min="4620" max="4620" width="22.6640625" style="4" bestFit="1" customWidth="1"/>
    <col min="4621" max="4621" width="22.109375" style="4" bestFit="1" customWidth="1"/>
    <col min="4622" max="4622" width="22.6640625" style="4" bestFit="1" customWidth="1"/>
    <col min="4623" max="4623" width="21" style="4" bestFit="1" customWidth="1"/>
    <col min="4624" max="4624" width="28.44140625" style="4" customWidth="1"/>
    <col min="4625" max="4625" width="21" style="4" bestFit="1" customWidth="1"/>
    <col min="4626" max="4626" width="24.109375" style="4" bestFit="1" customWidth="1"/>
    <col min="4627" max="4627" width="21.5546875" style="4" customWidth="1"/>
    <col min="4628" max="4628" width="21.33203125" style="4" customWidth="1"/>
    <col min="4629" max="4629" width="21.5546875" style="4" bestFit="1" customWidth="1"/>
    <col min="4630" max="4630" width="22.6640625" style="4" bestFit="1" customWidth="1"/>
    <col min="4631" max="4634" width="21" style="4" bestFit="1" customWidth="1"/>
    <col min="4635" max="4635" width="22.109375" style="4" bestFit="1" customWidth="1"/>
    <col min="4636" max="4636" width="25.5546875" style="4" bestFit="1" customWidth="1"/>
    <col min="4637" max="4637" width="27.33203125" style="4" customWidth="1"/>
    <col min="4638" max="4638" width="26" style="4" customWidth="1"/>
    <col min="4639" max="4639" width="26.88671875" style="4" customWidth="1"/>
    <col min="4640" max="4640" width="32.44140625" style="4" bestFit="1" customWidth="1"/>
    <col min="4641" max="4860" width="11.44140625" style="4"/>
    <col min="4861" max="4861" width="29.6640625" style="4" customWidth="1"/>
    <col min="4862" max="4862" width="6.5546875" style="4" customWidth="1"/>
    <col min="4863" max="4863" width="37" style="4" customWidth="1"/>
    <col min="4864" max="4864" width="8.88671875" style="4" customWidth="1"/>
    <col min="4865" max="4865" width="52.109375" style="4" customWidth="1"/>
    <col min="4866" max="4866" width="13.44140625" style="4" customWidth="1"/>
    <col min="4867" max="4867" width="22" style="4" bestFit="1" customWidth="1"/>
    <col min="4868" max="4868" width="24.44140625" style="4" bestFit="1" customWidth="1"/>
    <col min="4869" max="4869" width="26.33203125" style="4" customWidth="1"/>
    <col min="4870" max="4870" width="23.44140625" style="4" customWidth="1"/>
    <col min="4871" max="4871" width="21.88671875" style="4" customWidth="1"/>
    <col min="4872" max="4873" width="21.6640625" style="4" customWidth="1"/>
    <col min="4874" max="4874" width="21.5546875" style="4" bestFit="1" customWidth="1"/>
    <col min="4875" max="4875" width="22.109375" style="4" bestFit="1" customWidth="1"/>
    <col min="4876" max="4876" width="22.6640625" style="4" bestFit="1" customWidth="1"/>
    <col min="4877" max="4877" width="22.109375" style="4" bestFit="1" customWidth="1"/>
    <col min="4878" max="4878" width="22.6640625" style="4" bestFit="1" customWidth="1"/>
    <col min="4879" max="4879" width="21" style="4" bestFit="1" customWidth="1"/>
    <col min="4880" max="4880" width="28.44140625" style="4" customWidth="1"/>
    <col min="4881" max="4881" width="21" style="4" bestFit="1" customWidth="1"/>
    <col min="4882" max="4882" width="24.109375" style="4" bestFit="1" customWidth="1"/>
    <col min="4883" max="4883" width="21.5546875" style="4" customWidth="1"/>
    <col min="4884" max="4884" width="21.33203125" style="4" customWidth="1"/>
    <col min="4885" max="4885" width="21.5546875" style="4" bestFit="1" customWidth="1"/>
    <col min="4886" max="4886" width="22.6640625" style="4" bestFit="1" customWidth="1"/>
    <col min="4887" max="4890" width="21" style="4" bestFit="1" customWidth="1"/>
    <col min="4891" max="4891" width="22.109375" style="4" bestFit="1" customWidth="1"/>
    <col min="4892" max="4892" width="25.5546875" style="4" bestFit="1" customWidth="1"/>
    <col min="4893" max="4893" width="27.33203125" style="4" customWidth="1"/>
    <col min="4894" max="4894" width="26" style="4" customWidth="1"/>
    <col min="4895" max="4895" width="26.88671875" style="4" customWidth="1"/>
    <col min="4896" max="4896" width="32.44140625" style="4" bestFit="1" customWidth="1"/>
    <col min="4897" max="5116" width="11.44140625" style="4"/>
    <col min="5117" max="5117" width="29.6640625" style="4" customWidth="1"/>
    <col min="5118" max="5118" width="6.5546875" style="4" customWidth="1"/>
    <col min="5119" max="5119" width="37" style="4" customWidth="1"/>
    <col min="5120" max="5120" width="8.88671875" style="4" customWidth="1"/>
    <col min="5121" max="5121" width="52.109375" style="4" customWidth="1"/>
    <col min="5122" max="5122" width="13.44140625" style="4" customWidth="1"/>
    <col min="5123" max="5123" width="22" style="4" bestFit="1" customWidth="1"/>
    <col min="5124" max="5124" width="24.44140625" style="4" bestFit="1" customWidth="1"/>
    <col min="5125" max="5125" width="26.33203125" style="4" customWidth="1"/>
    <col min="5126" max="5126" width="23.44140625" style="4" customWidth="1"/>
    <col min="5127" max="5127" width="21.88671875" style="4" customWidth="1"/>
    <col min="5128" max="5129" width="21.6640625" style="4" customWidth="1"/>
    <col min="5130" max="5130" width="21.5546875" style="4" bestFit="1" customWidth="1"/>
    <col min="5131" max="5131" width="22.109375" style="4" bestFit="1" customWidth="1"/>
    <col min="5132" max="5132" width="22.6640625" style="4" bestFit="1" customWidth="1"/>
    <col min="5133" max="5133" width="22.109375" style="4" bestFit="1" customWidth="1"/>
    <col min="5134" max="5134" width="22.6640625" style="4" bestFit="1" customWidth="1"/>
    <col min="5135" max="5135" width="21" style="4" bestFit="1" customWidth="1"/>
    <col min="5136" max="5136" width="28.44140625" style="4" customWidth="1"/>
    <col min="5137" max="5137" width="21" style="4" bestFit="1" customWidth="1"/>
    <col min="5138" max="5138" width="24.109375" style="4" bestFit="1" customWidth="1"/>
    <col min="5139" max="5139" width="21.5546875" style="4" customWidth="1"/>
    <col min="5140" max="5140" width="21.33203125" style="4" customWidth="1"/>
    <col min="5141" max="5141" width="21.5546875" style="4" bestFit="1" customWidth="1"/>
    <col min="5142" max="5142" width="22.6640625" style="4" bestFit="1" customWidth="1"/>
    <col min="5143" max="5146" width="21" style="4" bestFit="1" customWidth="1"/>
    <col min="5147" max="5147" width="22.109375" style="4" bestFit="1" customWidth="1"/>
    <col min="5148" max="5148" width="25.5546875" style="4" bestFit="1" customWidth="1"/>
    <col min="5149" max="5149" width="27.33203125" style="4" customWidth="1"/>
    <col min="5150" max="5150" width="26" style="4" customWidth="1"/>
    <col min="5151" max="5151" width="26.88671875" style="4" customWidth="1"/>
    <col min="5152" max="5152" width="32.44140625" style="4" bestFit="1" customWidth="1"/>
    <col min="5153" max="5372" width="11.44140625" style="4"/>
    <col min="5373" max="5373" width="29.6640625" style="4" customWidth="1"/>
    <col min="5374" max="5374" width="6.5546875" style="4" customWidth="1"/>
    <col min="5375" max="5375" width="37" style="4" customWidth="1"/>
    <col min="5376" max="5376" width="8.88671875" style="4" customWidth="1"/>
    <col min="5377" max="5377" width="52.109375" style="4" customWidth="1"/>
    <col min="5378" max="5378" width="13.44140625" style="4" customWidth="1"/>
    <col min="5379" max="5379" width="22" style="4" bestFit="1" customWidth="1"/>
    <col min="5380" max="5380" width="24.44140625" style="4" bestFit="1" customWidth="1"/>
    <col min="5381" max="5381" width="26.33203125" style="4" customWidth="1"/>
    <col min="5382" max="5382" width="23.44140625" style="4" customWidth="1"/>
    <col min="5383" max="5383" width="21.88671875" style="4" customWidth="1"/>
    <col min="5384" max="5385" width="21.6640625" style="4" customWidth="1"/>
    <col min="5386" max="5386" width="21.5546875" style="4" bestFit="1" customWidth="1"/>
    <col min="5387" max="5387" width="22.109375" style="4" bestFit="1" customWidth="1"/>
    <col min="5388" max="5388" width="22.6640625" style="4" bestFit="1" customWidth="1"/>
    <col min="5389" max="5389" width="22.109375" style="4" bestFit="1" customWidth="1"/>
    <col min="5390" max="5390" width="22.6640625" style="4" bestFit="1" customWidth="1"/>
    <col min="5391" max="5391" width="21" style="4" bestFit="1" customWidth="1"/>
    <col min="5392" max="5392" width="28.44140625" style="4" customWidth="1"/>
    <col min="5393" max="5393" width="21" style="4" bestFit="1" customWidth="1"/>
    <col min="5394" max="5394" width="24.109375" style="4" bestFit="1" customWidth="1"/>
    <col min="5395" max="5395" width="21.5546875" style="4" customWidth="1"/>
    <col min="5396" max="5396" width="21.33203125" style="4" customWidth="1"/>
    <col min="5397" max="5397" width="21.5546875" style="4" bestFit="1" customWidth="1"/>
    <col min="5398" max="5398" width="22.6640625" style="4" bestFit="1" customWidth="1"/>
    <col min="5399" max="5402" width="21" style="4" bestFit="1" customWidth="1"/>
    <col min="5403" max="5403" width="22.109375" style="4" bestFit="1" customWidth="1"/>
    <col min="5404" max="5404" width="25.5546875" style="4" bestFit="1" customWidth="1"/>
    <col min="5405" max="5405" width="27.33203125" style="4" customWidth="1"/>
    <col min="5406" max="5406" width="26" style="4" customWidth="1"/>
    <col min="5407" max="5407" width="26.88671875" style="4" customWidth="1"/>
    <col min="5408" max="5408" width="32.44140625" style="4" bestFit="1" customWidth="1"/>
    <col min="5409" max="5628" width="11.44140625" style="4"/>
    <col min="5629" max="5629" width="29.6640625" style="4" customWidth="1"/>
    <col min="5630" max="5630" width="6.5546875" style="4" customWidth="1"/>
    <col min="5631" max="5631" width="37" style="4" customWidth="1"/>
    <col min="5632" max="5632" width="8.88671875" style="4" customWidth="1"/>
    <col min="5633" max="5633" width="52.109375" style="4" customWidth="1"/>
    <col min="5634" max="5634" width="13.44140625" style="4" customWidth="1"/>
    <col min="5635" max="5635" width="22" style="4" bestFit="1" customWidth="1"/>
    <col min="5636" max="5636" width="24.44140625" style="4" bestFit="1" customWidth="1"/>
    <col min="5637" max="5637" width="26.33203125" style="4" customWidth="1"/>
    <col min="5638" max="5638" width="23.44140625" style="4" customWidth="1"/>
    <col min="5639" max="5639" width="21.88671875" style="4" customWidth="1"/>
    <col min="5640" max="5641" width="21.6640625" style="4" customWidth="1"/>
    <col min="5642" max="5642" width="21.5546875" style="4" bestFit="1" customWidth="1"/>
    <col min="5643" max="5643" width="22.109375" style="4" bestFit="1" customWidth="1"/>
    <col min="5644" max="5644" width="22.6640625" style="4" bestFit="1" customWidth="1"/>
    <col min="5645" max="5645" width="22.109375" style="4" bestFit="1" customWidth="1"/>
    <col min="5646" max="5646" width="22.6640625" style="4" bestFit="1" customWidth="1"/>
    <col min="5647" max="5647" width="21" style="4" bestFit="1" customWidth="1"/>
    <col min="5648" max="5648" width="28.44140625" style="4" customWidth="1"/>
    <col min="5649" max="5649" width="21" style="4" bestFit="1" customWidth="1"/>
    <col min="5650" max="5650" width="24.109375" style="4" bestFit="1" customWidth="1"/>
    <col min="5651" max="5651" width="21.5546875" style="4" customWidth="1"/>
    <col min="5652" max="5652" width="21.33203125" style="4" customWidth="1"/>
    <col min="5653" max="5653" width="21.5546875" style="4" bestFit="1" customWidth="1"/>
    <col min="5654" max="5654" width="22.6640625" style="4" bestFit="1" customWidth="1"/>
    <col min="5655" max="5658" width="21" style="4" bestFit="1" customWidth="1"/>
    <col min="5659" max="5659" width="22.109375" style="4" bestFit="1" customWidth="1"/>
    <col min="5660" max="5660" width="25.5546875" style="4" bestFit="1" customWidth="1"/>
    <col min="5661" max="5661" width="27.33203125" style="4" customWidth="1"/>
    <col min="5662" max="5662" width="26" style="4" customWidth="1"/>
    <col min="5663" max="5663" width="26.88671875" style="4" customWidth="1"/>
    <col min="5664" max="5664" width="32.44140625" style="4" bestFit="1" customWidth="1"/>
    <col min="5665" max="5884" width="11.44140625" style="4"/>
    <col min="5885" max="5885" width="29.6640625" style="4" customWidth="1"/>
    <col min="5886" max="5886" width="6.5546875" style="4" customWidth="1"/>
    <col min="5887" max="5887" width="37" style="4" customWidth="1"/>
    <col min="5888" max="5888" width="8.88671875" style="4" customWidth="1"/>
    <col min="5889" max="5889" width="52.109375" style="4" customWidth="1"/>
    <col min="5890" max="5890" width="13.44140625" style="4" customWidth="1"/>
    <col min="5891" max="5891" width="22" style="4" bestFit="1" customWidth="1"/>
    <col min="5892" max="5892" width="24.44140625" style="4" bestFit="1" customWidth="1"/>
    <col min="5893" max="5893" width="26.33203125" style="4" customWidth="1"/>
    <col min="5894" max="5894" width="23.44140625" style="4" customWidth="1"/>
    <col min="5895" max="5895" width="21.88671875" style="4" customWidth="1"/>
    <col min="5896" max="5897" width="21.6640625" style="4" customWidth="1"/>
    <col min="5898" max="5898" width="21.5546875" style="4" bestFit="1" customWidth="1"/>
    <col min="5899" max="5899" width="22.109375" style="4" bestFit="1" customWidth="1"/>
    <col min="5900" max="5900" width="22.6640625" style="4" bestFit="1" customWidth="1"/>
    <col min="5901" max="5901" width="22.109375" style="4" bestFit="1" customWidth="1"/>
    <col min="5902" max="5902" width="22.6640625" style="4" bestFit="1" customWidth="1"/>
    <col min="5903" max="5903" width="21" style="4" bestFit="1" customWidth="1"/>
    <col min="5904" max="5904" width="28.44140625" style="4" customWidth="1"/>
    <col min="5905" max="5905" width="21" style="4" bestFit="1" customWidth="1"/>
    <col min="5906" max="5906" width="24.109375" style="4" bestFit="1" customWidth="1"/>
    <col min="5907" max="5907" width="21.5546875" style="4" customWidth="1"/>
    <col min="5908" max="5908" width="21.33203125" style="4" customWidth="1"/>
    <col min="5909" max="5909" width="21.5546875" style="4" bestFit="1" customWidth="1"/>
    <col min="5910" max="5910" width="22.6640625" style="4" bestFit="1" customWidth="1"/>
    <col min="5911" max="5914" width="21" style="4" bestFit="1" customWidth="1"/>
    <col min="5915" max="5915" width="22.109375" style="4" bestFit="1" customWidth="1"/>
    <col min="5916" max="5916" width="25.5546875" style="4" bestFit="1" customWidth="1"/>
    <col min="5917" max="5917" width="27.33203125" style="4" customWidth="1"/>
    <col min="5918" max="5918" width="26" style="4" customWidth="1"/>
    <col min="5919" max="5919" width="26.88671875" style="4" customWidth="1"/>
    <col min="5920" max="5920" width="32.44140625" style="4" bestFit="1" customWidth="1"/>
    <col min="5921" max="6140" width="11.44140625" style="4"/>
    <col min="6141" max="6141" width="29.6640625" style="4" customWidth="1"/>
    <col min="6142" max="6142" width="6.5546875" style="4" customWidth="1"/>
    <col min="6143" max="6143" width="37" style="4" customWidth="1"/>
    <col min="6144" max="6144" width="8.88671875" style="4" customWidth="1"/>
    <col min="6145" max="6145" width="52.109375" style="4" customWidth="1"/>
    <col min="6146" max="6146" width="13.44140625" style="4" customWidth="1"/>
    <col min="6147" max="6147" width="22" style="4" bestFit="1" customWidth="1"/>
    <col min="6148" max="6148" width="24.44140625" style="4" bestFit="1" customWidth="1"/>
    <col min="6149" max="6149" width="26.33203125" style="4" customWidth="1"/>
    <col min="6150" max="6150" width="23.44140625" style="4" customWidth="1"/>
    <col min="6151" max="6151" width="21.88671875" style="4" customWidth="1"/>
    <col min="6152" max="6153" width="21.6640625" style="4" customWidth="1"/>
    <col min="6154" max="6154" width="21.5546875" style="4" bestFit="1" customWidth="1"/>
    <col min="6155" max="6155" width="22.109375" style="4" bestFit="1" customWidth="1"/>
    <col min="6156" max="6156" width="22.6640625" style="4" bestFit="1" customWidth="1"/>
    <col min="6157" max="6157" width="22.109375" style="4" bestFit="1" customWidth="1"/>
    <col min="6158" max="6158" width="22.6640625" style="4" bestFit="1" customWidth="1"/>
    <col min="6159" max="6159" width="21" style="4" bestFit="1" customWidth="1"/>
    <col min="6160" max="6160" width="28.44140625" style="4" customWidth="1"/>
    <col min="6161" max="6161" width="21" style="4" bestFit="1" customWidth="1"/>
    <col min="6162" max="6162" width="24.109375" style="4" bestFit="1" customWidth="1"/>
    <col min="6163" max="6163" width="21.5546875" style="4" customWidth="1"/>
    <col min="6164" max="6164" width="21.33203125" style="4" customWidth="1"/>
    <col min="6165" max="6165" width="21.5546875" style="4" bestFit="1" customWidth="1"/>
    <col min="6166" max="6166" width="22.6640625" style="4" bestFit="1" customWidth="1"/>
    <col min="6167" max="6170" width="21" style="4" bestFit="1" customWidth="1"/>
    <col min="6171" max="6171" width="22.109375" style="4" bestFit="1" customWidth="1"/>
    <col min="6172" max="6172" width="25.5546875" style="4" bestFit="1" customWidth="1"/>
    <col min="6173" max="6173" width="27.33203125" style="4" customWidth="1"/>
    <col min="6174" max="6174" width="26" style="4" customWidth="1"/>
    <col min="6175" max="6175" width="26.88671875" style="4" customWidth="1"/>
    <col min="6176" max="6176" width="32.44140625" style="4" bestFit="1" customWidth="1"/>
    <col min="6177" max="6396" width="11.44140625" style="4"/>
    <col min="6397" max="6397" width="29.6640625" style="4" customWidth="1"/>
    <col min="6398" max="6398" width="6.5546875" style="4" customWidth="1"/>
    <col min="6399" max="6399" width="37" style="4" customWidth="1"/>
    <col min="6400" max="6400" width="8.88671875" style="4" customWidth="1"/>
    <col min="6401" max="6401" width="52.109375" style="4" customWidth="1"/>
    <col min="6402" max="6402" width="13.44140625" style="4" customWidth="1"/>
    <col min="6403" max="6403" width="22" style="4" bestFit="1" customWidth="1"/>
    <col min="6404" max="6404" width="24.44140625" style="4" bestFit="1" customWidth="1"/>
    <col min="6405" max="6405" width="26.33203125" style="4" customWidth="1"/>
    <col min="6406" max="6406" width="23.44140625" style="4" customWidth="1"/>
    <col min="6407" max="6407" width="21.88671875" style="4" customWidth="1"/>
    <col min="6408" max="6409" width="21.6640625" style="4" customWidth="1"/>
    <col min="6410" max="6410" width="21.5546875" style="4" bestFit="1" customWidth="1"/>
    <col min="6411" max="6411" width="22.109375" style="4" bestFit="1" customWidth="1"/>
    <col min="6412" max="6412" width="22.6640625" style="4" bestFit="1" customWidth="1"/>
    <col min="6413" max="6413" width="22.109375" style="4" bestFit="1" customWidth="1"/>
    <col min="6414" max="6414" width="22.6640625" style="4" bestFit="1" customWidth="1"/>
    <col min="6415" max="6415" width="21" style="4" bestFit="1" customWidth="1"/>
    <col min="6416" max="6416" width="28.44140625" style="4" customWidth="1"/>
    <col min="6417" max="6417" width="21" style="4" bestFit="1" customWidth="1"/>
    <col min="6418" max="6418" width="24.109375" style="4" bestFit="1" customWidth="1"/>
    <col min="6419" max="6419" width="21.5546875" style="4" customWidth="1"/>
    <col min="6420" max="6420" width="21.33203125" style="4" customWidth="1"/>
    <col min="6421" max="6421" width="21.5546875" style="4" bestFit="1" customWidth="1"/>
    <col min="6422" max="6422" width="22.6640625" style="4" bestFit="1" customWidth="1"/>
    <col min="6423" max="6426" width="21" style="4" bestFit="1" customWidth="1"/>
    <col min="6427" max="6427" width="22.109375" style="4" bestFit="1" customWidth="1"/>
    <col min="6428" max="6428" width="25.5546875" style="4" bestFit="1" customWidth="1"/>
    <col min="6429" max="6429" width="27.33203125" style="4" customWidth="1"/>
    <col min="6430" max="6430" width="26" style="4" customWidth="1"/>
    <col min="6431" max="6431" width="26.88671875" style="4" customWidth="1"/>
    <col min="6432" max="6432" width="32.44140625" style="4" bestFit="1" customWidth="1"/>
    <col min="6433" max="6652" width="11.44140625" style="4"/>
    <col min="6653" max="6653" width="29.6640625" style="4" customWidth="1"/>
    <col min="6654" max="6654" width="6.5546875" style="4" customWidth="1"/>
    <col min="6655" max="6655" width="37" style="4" customWidth="1"/>
    <col min="6656" max="6656" width="8.88671875" style="4" customWidth="1"/>
    <col min="6657" max="6657" width="52.109375" style="4" customWidth="1"/>
    <col min="6658" max="6658" width="13.44140625" style="4" customWidth="1"/>
    <col min="6659" max="6659" width="22" style="4" bestFit="1" customWidth="1"/>
    <col min="6660" max="6660" width="24.44140625" style="4" bestFit="1" customWidth="1"/>
    <col min="6661" max="6661" width="26.33203125" style="4" customWidth="1"/>
    <col min="6662" max="6662" width="23.44140625" style="4" customWidth="1"/>
    <col min="6663" max="6663" width="21.88671875" style="4" customWidth="1"/>
    <col min="6664" max="6665" width="21.6640625" style="4" customWidth="1"/>
    <col min="6666" max="6666" width="21.5546875" style="4" bestFit="1" customWidth="1"/>
    <col min="6667" max="6667" width="22.109375" style="4" bestFit="1" customWidth="1"/>
    <col min="6668" max="6668" width="22.6640625" style="4" bestFit="1" customWidth="1"/>
    <col min="6669" max="6669" width="22.109375" style="4" bestFit="1" customWidth="1"/>
    <col min="6670" max="6670" width="22.6640625" style="4" bestFit="1" customWidth="1"/>
    <col min="6671" max="6671" width="21" style="4" bestFit="1" customWidth="1"/>
    <col min="6672" max="6672" width="28.44140625" style="4" customWidth="1"/>
    <col min="6673" max="6673" width="21" style="4" bestFit="1" customWidth="1"/>
    <col min="6674" max="6674" width="24.109375" style="4" bestFit="1" customWidth="1"/>
    <col min="6675" max="6675" width="21.5546875" style="4" customWidth="1"/>
    <col min="6676" max="6676" width="21.33203125" style="4" customWidth="1"/>
    <col min="6677" max="6677" width="21.5546875" style="4" bestFit="1" customWidth="1"/>
    <col min="6678" max="6678" width="22.6640625" style="4" bestFit="1" customWidth="1"/>
    <col min="6679" max="6682" width="21" style="4" bestFit="1" customWidth="1"/>
    <col min="6683" max="6683" width="22.109375" style="4" bestFit="1" customWidth="1"/>
    <col min="6684" max="6684" width="25.5546875" style="4" bestFit="1" customWidth="1"/>
    <col min="6685" max="6685" width="27.33203125" style="4" customWidth="1"/>
    <col min="6686" max="6686" width="26" style="4" customWidth="1"/>
    <col min="6687" max="6687" width="26.88671875" style="4" customWidth="1"/>
    <col min="6688" max="6688" width="32.44140625" style="4" bestFit="1" customWidth="1"/>
    <col min="6689" max="6908" width="11.44140625" style="4"/>
    <col min="6909" max="6909" width="29.6640625" style="4" customWidth="1"/>
    <col min="6910" max="6910" width="6.5546875" style="4" customWidth="1"/>
    <col min="6911" max="6911" width="37" style="4" customWidth="1"/>
    <col min="6912" max="6912" width="8.88671875" style="4" customWidth="1"/>
    <col min="6913" max="6913" width="52.109375" style="4" customWidth="1"/>
    <col min="6914" max="6914" width="13.44140625" style="4" customWidth="1"/>
    <col min="6915" max="6915" width="22" style="4" bestFit="1" customWidth="1"/>
    <col min="6916" max="6916" width="24.44140625" style="4" bestFit="1" customWidth="1"/>
    <col min="6917" max="6917" width="26.33203125" style="4" customWidth="1"/>
    <col min="6918" max="6918" width="23.44140625" style="4" customWidth="1"/>
    <col min="6919" max="6919" width="21.88671875" style="4" customWidth="1"/>
    <col min="6920" max="6921" width="21.6640625" style="4" customWidth="1"/>
    <col min="6922" max="6922" width="21.5546875" style="4" bestFit="1" customWidth="1"/>
    <col min="6923" max="6923" width="22.109375" style="4" bestFit="1" customWidth="1"/>
    <col min="6924" max="6924" width="22.6640625" style="4" bestFit="1" customWidth="1"/>
    <col min="6925" max="6925" width="22.109375" style="4" bestFit="1" customWidth="1"/>
    <col min="6926" max="6926" width="22.6640625" style="4" bestFit="1" customWidth="1"/>
    <col min="6927" max="6927" width="21" style="4" bestFit="1" customWidth="1"/>
    <col min="6928" max="6928" width="28.44140625" style="4" customWidth="1"/>
    <col min="6929" max="6929" width="21" style="4" bestFit="1" customWidth="1"/>
    <col min="6930" max="6930" width="24.109375" style="4" bestFit="1" customWidth="1"/>
    <col min="6931" max="6931" width="21.5546875" style="4" customWidth="1"/>
    <col min="6932" max="6932" width="21.33203125" style="4" customWidth="1"/>
    <col min="6933" max="6933" width="21.5546875" style="4" bestFit="1" customWidth="1"/>
    <col min="6934" max="6934" width="22.6640625" style="4" bestFit="1" customWidth="1"/>
    <col min="6935" max="6938" width="21" style="4" bestFit="1" customWidth="1"/>
    <col min="6939" max="6939" width="22.109375" style="4" bestFit="1" customWidth="1"/>
    <col min="6940" max="6940" width="25.5546875" style="4" bestFit="1" customWidth="1"/>
    <col min="6941" max="6941" width="27.33203125" style="4" customWidth="1"/>
    <col min="6942" max="6942" width="26" style="4" customWidth="1"/>
    <col min="6943" max="6943" width="26.88671875" style="4" customWidth="1"/>
    <col min="6944" max="6944" width="32.44140625" style="4" bestFit="1" customWidth="1"/>
    <col min="6945" max="7164" width="11.44140625" style="4"/>
    <col min="7165" max="7165" width="29.6640625" style="4" customWidth="1"/>
    <col min="7166" max="7166" width="6.5546875" style="4" customWidth="1"/>
    <col min="7167" max="7167" width="37" style="4" customWidth="1"/>
    <col min="7168" max="7168" width="8.88671875" style="4" customWidth="1"/>
    <col min="7169" max="7169" width="52.109375" style="4" customWidth="1"/>
    <col min="7170" max="7170" width="13.44140625" style="4" customWidth="1"/>
    <col min="7171" max="7171" width="22" style="4" bestFit="1" customWidth="1"/>
    <col min="7172" max="7172" width="24.44140625" style="4" bestFit="1" customWidth="1"/>
    <col min="7173" max="7173" width="26.33203125" style="4" customWidth="1"/>
    <col min="7174" max="7174" width="23.44140625" style="4" customWidth="1"/>
    <col min="7175" max="7175" width="21.88671875" style="4" customWidth="1"/>
    <col min="7176" max="7177" width="21.6640625" style="4" customWidth="1"/>
    <col min="7178" max="7178" width="21.5546875" style="4" bestFit="1" customWidth="1"/>
    <col min="7179" max="7179" width="22.109375" style="4" bestFit="1" customWidth="1"/>
    <col min="7180" max="7180" width="22.6640625" style="4" bestFit="1" customWidth="1"/>
    <col min="7181" max="7181" width="22.109375" style="4" bestFit="1" customWidth="1"/>
    <col min="7182" max="7182" width="22.6640625" style="4" bestFit="1" customWidth="1"/>
    <col min="7183" max="7183" width="21" style="4" bestFit="1" customWidth="1"/>
    <col min="7184" max="7184" width="28.44140625" style="4" customWidth="1"/>
    <col min="7185" max="7185" width="21" style="4" bestFit="1" customWidth="1"/>
    <col min="7186" max="7186" width="24.109375" style="4" bestFit="1" customWidth="1"/>
    <col min="7187" max="7187" width="21.5546875" style="4" customWidth="1"/>
    <col min="7188" max="7188" width="21.33203125" style="4" customWidth="1"/>
    <col min="7189" max="7189" width="21.5546875" style="4" bestFit="1" customWidth="1"/>
    <col min="7190" max="7190" width="22.6640625" style="4" bestFit="1" customWidth="1"/>
    <col min="7191" max="7194" width="21" style="4" bestFit="1" customWidth="1"/>
    <col min="7195" max="7195" width="22.109375" style="4" bestFit="1" customWidth="1"/>
    <col min="7196" max="7196" width="25.5546875" style="4" bestFit="1" customWidth="1"/>
    <col min="7197" max="7197" width="27.33203125" style="4" customWidth="1"/>
    <col min="7198" max="7198" width="26" style="4" customWidth="1"/>
    <col min="7199" max="7199" width="26.88671875" style="4" customWidth="1"/>
    <col min="7200" max="7200" width="32.44140625" style="4" bestFit="1" customWidth="1"/>
    <col min="7201" max="7420" width="11.44140625" style="4"/>
    <col min="7421" max="7421" width="29.6640625" style="4" customWidth="1"/>
    <col min="7422" max="7422" width="6.5546875" style="4" customWidth="1"/>
    <col min="7423" max="7423" width="37" style="4" customWidth="1"/>
    <col min="7424" max="7424" width="8.88671875" style="4" customWidth="1"/>
    <col min="7425" max="7425" width="52.109375" style="4" customWidth="1"/>
    <col min="7426" max="7426" width="13.44140625" style="4" customWidth="1"/>
    <col min="7427" max="7427" width="22" style="4" bestFit="1" customWidth="1"/>
    <col min="7428" max="7428" width="24.44140625" style="4" bestFit="1" customWidth="1"/>
    <col min="7429" max="7429" width="26.33203125" style="4" customWidth="1"/>
    <col min="7430" max="7430" width="23.44140625" style="4" customWidth="1"/>
    <col min="7431" max="7431" width="21.88671875" style="4" customWidth="1"/>
    <col min="7432" max="7433" width="21.6640625" style="4" customWidth="1"/>
    <col min="7434" max="7434" width="21.5546875" style="4" bestFit="1" customWidth="1"/>
    <col min="7435" max="7435" width="22.109375" style="4" bestFit="1" customWidth="1"/>
    <col min="7436" max="7436" width="22.6640625" style="4" bestFit="1" customWidth="1"/>
    <col min="7437" max="7437" width="22.109375" style="4" bestFit="1" customWidth="1"/>
    <col min="7438" max="7438" width="22.6640625" style="4" bestFit="1" customWidth="1"/>
    <col min="7439" max="7439" width="21" style="4" bestFit="1" customWidth="1"/>
    <col min="7440" max="7440" width="28.44140625" style="4" customWidth="1"/>
    <col min="7441" max="7441" width="21" style="4" bestFit="1" customWidth="1"/>
    <col min="7442" max="7442" width="24.109375" style="4" bestFit="1" customWidth="1"/>
    <col min="7443" max="7443" width="21.5546875" style="4" customWidth="1"/>
    <col min="7444" max="7444" width="21.33203125" style="4" customWidth="1"/>
    <col min="7445" max="7445" width="21.5546875" style="4" bestFit="1" customWidth="1"/>
    <col min="7446" max="7446" width="22.6640625" style="4" bestFit="1" customWidth="1"/>
    <col min="7447" max="7450" width="21" style="4" bestFit="1" customWidth="1"/>
    <col min="7451" max="7451" width="22.109375" style="4" bestFit="1" customWidth="1"/>
    <col min="7452" max="7452" width="25.5546875" style="4" bestFit="1" customWidth="1"/>
    <col min="7453" max="7453" width="27.33203125" style="4" customWidth="1"/>
    <col min="7454" max="7454" width="26" style="4" customWidth="1"/>
    <col min="7455" max="7455" width="26.88671875" style="4" customWidth="1"/>
    <col min="7456" max="7456" width="32.44140625" style="4" bestFit="1" customWidth="1"/>
    <col min="7457" max="7676" width="11.44140625" style="4"/>
    <col min="7677" max="7677" width="29.6640625" style="4" customWidth="1"/>
    <col min="7678" max="7678" width="6.5546875" style="4" customWidth="1"/>
    <col min="7679" max="7679" width="37" style="4" customWidth="1"/>
    <col min="7680" max="7680" width="8.88671875" style="4" customWidth="1"/>
    <col min="7681" max="7681" width="52.109375" style="4" customWidth="1"/>
    <col min="7682" max="7682" width="13.44140625" style="4" customWidth="1"/>
    <col min="7683" max="7683" width="22" style="4" bestFit="1" customWidth="1"/>
    <col min="7684" max="7684" width="24.44140625" style="4" bestFit="1" customWidth="1"/>
    <col min="7685" max="7685" width="26.33203125" style="4" customWidth="1"/>
    <col min="7686" max="7686" width="23.44140625" style="4" customWidth="1"/>
    <col min="7687" max="7687" width="21.88671875" style="4" customWidth="1"/>
    <col min="7688" max="7689" width="21.6640625" style="4" customWidth="1"/>
    <col min="7690" max="7690" width="21.5546875" style="4" bestFit="1" customWidth="1"/>
    <col min="7691" max="7691" width="22.109375" style="4" bestFit="1" customWidth="1"/>
    <col min="7692" max="7692" width="22.6640625" style="4" bestFit="1" customWidth="1"/>
    <col min="7693" max="7693" width="22.109375" style="4" bestFit="1" customWidth="1"/>
    <col min="7694" max="7694" width="22.6640625" style="4" bestFit="1" customWidth="1"/>
    <col min="7695" max="7695" width="21" style="4" bestFit="1" customWidth="1"/>
    <col min="7696" max="7696" width="28.44140625" style="4" customWidth="1"/>
    <col min="7697" max="7697" width="21" style="4" bestFit="1" customWidth="1"/>
    <col min="7698" max="7698" width="24.109375" style="4" bestFit="1" customWidth="1"/>
    <col min="7699" max="7699" width="21.5546875" style="4" customWidth="1"/>
    <col min="7700" max="7700" width="21.33203125" style="4" customWidth="1"/>
    <col min="7701" max="7701" width="21.5546875" style="4" bestFit="1" customWidth="1"/>
    <col min="7702" max="7702" width="22.6640625" style="4" bestFit="1" customWidth="1"/>
    <col min="7703" max="7706" width="21" style="4" bestFit="1" customWidth="1"/>
    <col min="7707" max="7707" width="22.109375" style="4" bestFit="1" customWidth="1"/>
    <col min="7708" max="7708" width="25.5546875" style="4" bestFit="1" customWidth="1"/>
    <col min="7709" max="7709" width="27.33203125" style="4" customWidth="1"/>
    <col min="7710" max="7710" width="26" style="4" customWidth="1"/>
    <col min="7711" max="7711" width="26.88671875" style="4" customWidth="1"/>
    <col min="7712" max="7712" width="32.44140625" style="4" bestFit="1" customWidth="1"/>
    <col min="7713" max="7932" width="11.44140625" style="4"/>
    <col min="7933" max="7933" width="29.6640625" style="4" customWidth="1"/>
    <col min="7934" max="7934" width="6.5546875" style="4" customWidth="1"/>
    <col min="7935" max="7935" width="37" style="4" customWidth="1"/>
    <col min="7936" max="7936" width="8.88671875" style="4" customWidth="1"/>
    <col min="7937" max="7937" width="52.109375" style="4" customWidth="1"/>
    <col min="7938" max="7938" width="13.44140625" style="4" customWidth="1"/>
    <col min="7939" max="7939" width="22" style="4" bestFit="1" customWidth="1"/>
    <col min="7940" max="7940" width="24.44140625" style="4" bestFit="1" customWidth="1"/>
    <col min="7941" max="7941" width="26.33203125" style="4" customWidth="1"/>
    <col min="7942" max="7942" width="23.44140625" style="4" customWidth="1"/>
    <col min="7943" max="7943" width="21.88671875" style="4" customWidth="1"/>
    <col min="7944" max="7945" width="21.6640625" style="4" customWidth="1"/>
    <col min="7946" max="7946" width="21.5546875" style="4" bestFit="1" customWidth="1"/>
    <col min="7947" max="7947" width="22.109375" style="4" bestFit="1" customWidth="1"/>
    <col min="7948" max="7948" width="22.6640625" style="4" bestFit="1" customWidth="1"/>
    <col min="7949" max="7949" width="22.109375" style="4" bestFit="1" customWidth="1"/>
    <col min="7950" max="7950" width="22.6640625" style="4" bestFit="1" customWidth="1"/>
    <col min="7951" max="7951" width="21" style="4" bestFit="1" customWidth="1"/>
    <col min="7952" max="7952" width="28.44140625" style="4" customWidth="1"/>
    <col min="7953" max="7953" width="21" style="4" bestFit="1" customWidth="1"/>
    <col min="7954" max="7954" width="24.109375" style="4" bestFit="1" customWidth="1"/>
    <col min="7955" max="7955" width="21.5546875" style="4" customWidth="1"/>
    <col min="7956" max="7956" width="21.33203125" style="4" customWidth="1"/>
    <col min="7957" max="7957" width="21.5546875" style="4" bestFit="1" customWidth="1"/>
    <col min="7958" max="7958" width="22.6640625" style="4" bestFit="1" customWidth="1"/>
    <col min="7959" max="7962" width="21" style="4" bestFit="1" customWidth="1"/>
    <col min="7963" max="7963" width="22.109375" style="4" bestFit="1" customWidth="1"/>
    <col min="7964" max="7964" width="25.5546875" style="4" bestFit="1" customWidth="1"/>
    <col min="7965" max="7965" width="27.33203125" style="4" customWidth="1"/>
    <col min="7966" max="7966" width="26" style="4" customWidth="1"/>
    <col min="7967" max="7967" width="26.88671875" style="4" customWidth="1"/>
    <col min="7968" max="7968" width="32.44140625" style="4" bestFit="1" customWidth="1"/>
    <col min="7969" max="8188" width="11.44140625" style="4"/>
    <col min="8189" max="8189" width="29.6640625" style="4" customWidth="1"/>
    <col min="8190" max="8190" width="6.5546875" style="4" customWidth="1"/>
    <col min="8191" max="8191" width="37" style="4" customWidth="1"/>
    <col min="8192" max="8192" width="8.88671875" style="4" customWidth="1"/>
    <col min="8193" max="8193" width="52.109375" style="4" customWidth="1"/>
    <col min="8194" max="8194" width="13.44140625" style="4" customWidth="1"/>
    <col min="8195" max="8195" width="22" style="4" bestFit="1" customWidth="1"/>
    <col min="8196" max="8196" width="24.44140625" style="4" bestFit="1" customWidth="1"/>
    <col min="8197" max="8197" width="26.33203125" style="4" customWidth="1"/>
    <col min="8198" max="8198" width="23.44140625" style="4" customWidth="1"/>
    <col min="8199" max="8199" width="21.88671875" style="4" customWidth="1"/>
    <col min="8200" max="8201" width="21.6640625" style="4" customWidth="1"/>
    <col min="8202" max="8202" width="21.5546875" style="4" bestFit="1" customWidth="1"/>
    <col min="8203" max="8203" width="22.109375" style="4" bestFit="1" customWidth="1"/>
    <col min="8204" max="8204" width="22.6640625" style="4" bestFit="1" customWidth="1"/>
    <col min="8205" max="8205" width="22.109375" style="4" bestFit="1" customWidth="1"/>
    <col min="8206" max="8206" width="22.6640625" style="4" bestFit="1" customWidth="1"/>
    <col min="8207" max="8207" width="21" style="4" bestFit="1" customWidth="1"/>
    <col min="8208" max="8208" width="28.44140625" style="4" customWidth="1"/>
    <col min="8209" max="8209" width="21" style="4" bestFit="1" customWidth="1"/>
    <col min="8210" max="8210" width="24.109375" style="4" bestFit="1" customWidth="1"/>
    <col min="8211" max="8211" width="21.5546875" style="4" customWidth="1"/>
    <col min="8212" max="8212" width="21.33203125" style="4" customWidth="1"/>
    <col min="8213" max="8213" width="21.5546875" style="4" bestFit="1" customWidth="1"/>
    <col min="8214" max="8214" width="22.6640625" style="4" bestFit="1" customWidth="1"/>
    <col min="8215" max="8218" width="21" style="4" bestFit="1" customWidth="1"/>
    <col min="8219" max="8219" width="22.109375" style="4" bestFit="1" customWidth="1"/>
    <col min="8220" max="8220" width="25.5546875" style="4" bestFit="1" customWidth="1"/>
    <col min="8221" max="8221" width="27.33203125" style="4" customWidth="1"/>
    <col min="8222" max="8222" width="26" style="4" customWidth="1"/>
    <col min="8223" max="8223" width="26.88671875" style="4" customWidth="1"/>
    <col min="8224" max="8224" width="32.44140625" style="4" bestFit="1" customWidth="1"/>
    <col min="8225" max="8444" width="11.44140625" style="4"/>
    <col min="8445" max="8445" width="29.6640625" style="4" customWidth="1"/>
    <col min="8446" max="8446" width="6.5546875" style="4" customWidth="1"/>
    <col min="8447" max="8447" width="37" style="4" customWidth="1"/>
    <col min="8448" max="8448" width="8.88671875" style="4" customWidth="1"/>
    <col min="8449" max="8449" width="52.109375" style="4" customWidth="1"/>
    <col min="8450" max="8450" width="13.44140625" style="4" customWidth="1"/>
    <col min="8451" max="8451" width="22" style="4" bestFit="1" customWidth="1"/>
    <col min="8452" max="8452" width="24.44140625" style="4" bestFit="1" customWidth="1"/>
    <col min="8453" max="8453" width="26.33203125" style="4" customWidth="1"/>
    <col min="8454" max="8454" width="23.44140625" style="4" customWidth="1"/>
    <col min="8455" max="8455" width="21.88671875" style="4" customWidth="1"/>
    <col min="8456" max="8457" width="21.6640625" style="4" customWidth="1"/>
    <col min="8458" max="8458" width="21.5546875" style="4" bestFit="1" customWidth="1"/>
    <col min="8459" max="8459" width="22.109375" style="4" bestFit="1" customWidth="1"/>
    <col min="8460" max="8460" width="22.6640625" style="4" bestFit="1" customWidth="1"/>
    <col min="8461" max="8461" width="22.109375" style="4" bestFit="1" customWidth="1"/>
    <col min="8462" max="8462" width="22.6640625" style="4" bestFit="1" customWidth="1"/>
    <col min="8463" max="8463" width="21" style="4" bestFit="1" customWidth="1"/>
    <col min="8464" max="8464" width="28.44140625" style="4" customWidth="1"/>
    <col min="8465" max="8465" width="21" style="4" bestFit="1" customWidth="1"/>
    <col min="8466" max="8466" width="24.109375" style="4" bestFit="1" customWidth="1"/>
    <col min="8467" max="8467" width="21.5546875" style="4" customWidth="1"/>
    <col min="8468" max="8468" width="21.33203125" style="4" customWidth="1"/>
    <col min="8469" max="8469" width="21.5546875" style="4" bestFit="1" customWidth="1"/>
    <col min="8470" max="8470" width="22.6640625" style="4" bestFit="1" customWidth="1"/>
    <col min="8471" max="8474" width="21" style="4" bestFit="1" customWidth="1"/>
    <col min="8475" max="8475" width="22.109375" style="4" bestFit="1" customWidth="1"/>
    <col min="8476" max="8476" width="25.5546875" style="4" bestFit="1" customWidth="1"/>
    <col min="8477" max="8477" width="27.33203125" style="4" customWidth="1"/>
    <col min="8478" max="8478" width="26" style="4" customWidth="1"/>
    <col min="8479" max="8479" width="26.88671875" style="4" customWidth="1"/>
    <col min="8480" max="8480" width="32.44140625" style="4" bestFit="1" customWidth="1"/>
    <col min="8481" max="8700" width="11.44140625" style="4"/>
    <col min="8701" max="8701" width="29.6640625" style="4" customWidth="1"/>
    <col min="8702" max="8702" width="6.5546875" style="4" customWidth="1"/>
    <col min="8703" max="8703" width="37" style="4" customWidth="1"/>
    <col min="8704" max="8704" width="8.88671875" style="4" customWidth="1"/>
    <col min="8705" max="8705" width="52.109375" style="4" customWidth="1"/>
    <col min="8706" max="8706" width="13.44140625" style="4" customWidth="1"/>
    <col min="8707" max="8707" width="22" style="4" bestFit="1" customWidth="1"/>
    <col min="8708" max="8708" width="24.44140625" style="4" bestFit="1" customWidth="1"/>
    <col min="8709" max="8709" width="26.33203125" style="4" customWidth="1"/>
    <col min="8710" max="8710" width="23.44140625" style="4" customWidth="1"/>
    <col min="8711" max="8711" width="21.88671875" style="4" customWidth="1"/>
    <col min="8712" max="8713" width="21.6640625" style="4" customWidth="1"/>
    <col min="8714" max="8714" width="21.5546875" style="4" bestFit="1" customWidth="1"/>
    <col min="8715" max="8715" width="22.109375" style="4" bestFit="1" customWidth="1"/>
    <col min="8716" max="8716" width="22.6640625" style="4" bestFit="1" customWidth="1"/>
    <col min="8717" max="8717" width="22.109375" style="4" bestFit="1" customWidth="1"/>
    <col min="8718" max="8718" width="22.6640625" style="4" bestFit="1" customWidth="1"/>
    <col min="8719" max="8719" width="21" style="4" bestFit="1" customWidth="1"/>
    <col min="8720" max="8720" width="28.44140625" style="4" customWidth="1"/>
    <col min="8721" max="8721" width="21" style="4" bestFit="1" customWidth="1"/>
    <col min="8722" max="8722" width="24.109375" style="4" bestFit="1" customWidth="1"/>
    <col min="8723" max="8723" width="21.5546875" style="4" customWidth="1"/>
    <col min="8724" max="8724" width="21.33203125" style="4" customWidth="1"/>
    <col min="8725" max="8725" width="21.5546875" style="4" bestFit="1" customWidth="1"/>
    <col min="8726" max="8726" width="22.6640625" style="4" bestFit="1" customWidth="1"/>
    <col min="8727" max="8730" width="21" style="4" bestFit="1" customWidth="1"/>
    <col min="8731" max="8731" width="22.109375" style="4" bestFit="1" customWidth="1"/>
    <col min="8732" max="8732" width="25.5546875" style="4" bestFit="1" customWidth="1"/>
    <col min="8733" max="8733" width="27.33203125" style="4" customWidth="1"/>
    <col min="8734" max="8734" width="26" style="4" customWidth="1"/>
    <col min="8735" max="8735" width="26.88671875" style="4" customWidth="1"/>
    <col min="8736" max="8736" width="32.44140625" style="4" bestFit="1" customWidth="1"/>
    <col min="8737" max="8956" width="11.44140625" style="4"/>
    <col min="8957" max="8957" width="29.6640625" style="4" customWidth="1"/>
    <col min="8958" max="8958" width="6.5546875" style="4" customWidth="1"/>
    <col min="8959" max="8959" width="37" style="4" customWidth="1"/>
    <col min="8960" max="8960" width="8.88671875" style="4" customWidth="1"/>
    <col min="8961" max="8961" width="52.109375" style="4" customWidth="1"/>
    <col min="8962" max="8962" width="13.44140625" style="4" customWidth="1"/>
    <col min="8963" max="8963" width="22" style="4" bestFit="1" customWidth="1"/>
    <col min="8964" max="8964" width="24.44140625" style="4" bestFit="1" customWidth="1"/>
    <col min="8965" max="8965" width="26.33203125" style="4" customWidth="1"/>
    <col min="8966" max="8966" width="23.44140625" style="4" customWidth="1"/>
    <col min="8967" max="8967" width="21.88671875" style="4" customWidth="1"/>
    <col min="8968" max="8969" width="21.6640625" style="4" customWidth="1"/>
    <col min="8970" max="8970" width="21.5546875" style="4" bestFit="1" customWidth="1"/>
    <col min="8971" max="8971" width="22.109375" style="4" bestFit="1" customWidth="1"/>
    <col min="8972" max="8972" width="22.6640625" style="4" bestFit="1" customWidth="1"/>
    <col min="8973" max="8973" width="22.109375" style="4" bestFit="1" customWidth="1"/>
    <col min="8974" max="8974" width="22.6640625" style="4" bestFit="1" customWidth="1"/>
    <col min="8975" max="8975" width="21" style="4" bestFit="1" customWidth="1"/>
    <col min="8976" max="8976" width="28.44140625" style="4" customWidth="1"/>
    <col min="8977" max="8977" width="21" style="4" bestFit="1" customWidth="1"/>
    <col min="8978" max="8978" width="24.109375" style="4" bestFit="1" customWidth="1"/>
    <col min="8979" max="8979" width="21.5546875" style="4" customWidth="1"/>
    <col min="8980" max="8980" width="21.33203125" style="4" customWidth="1"/>
    <col min="8981" max="8981" width="21.5546875" style="4" bestFit="1" customWidth="1"/>
    <col min="8982" max="8982" width="22.6640625" style="4" bestFit="1" customWidth="1"/>
    <col min="8983" max="8986" width="21" style="4" bestFit="1" customWidth="1"/>
    <col min="8987" max="8987" width="22.109375" style="4" bestFit="1" customWidth="1"/>
    <col min="8988" max="8988" width="25.5546875" style="4" bestFit="1" customWidth="1"/>
    <col min="8989" max="8989" width="27.33203125" style="4" customWidth="1"/>
    <col min="8990" max="8990" width="26" style="4" customWidth="1"/>
    <col min="8991" max="8991" width="26.88671875" style="4" customWidth="1"/>
    <col min="8992" max="8992" width="32.44140625" style="4" bestFit="1" customWidth="1"/>
    <col min="8993" max="9212" width="11.44140625" style="4"/>
    <col min="9213" max="9213" width="29.6640625" style="4" customWidth="1"/>
    <col min="9214" max="9214" width="6.5546875" style="4" customWidth="1"/>
    <col min="9215" max="9215" width="37" style="4" customWidth="1"/>
    <col min="9216" max="9216" width="8.88671875" style="4" customWidth="1"/>
    <col min="9217" max="9217" width="52.109375" style="4" customWidth="1"/>
    <col min="9218" max="9218" width="13.44140625" style="4" customWidth="1"/>
    <col min="9219" max="9219" width="22" style="4" bestFit="1" customWidth="1"/>
    <col min="9220" max="9220" width="24.44140625" style="4" bestFit="1" customWidth="1"/>
    <col min="9221" max="9221" width="26.33203125" style="4" customWidth="1"/>
    <col min="9222" max="9222" width="23.44140625" style="4" customWidth="1"/>
    <col min="9223" max="9223" width="21.88671875" style="4" customWidth="1"/>
    <col min="9224" max="9225" width="21.6640625" style="4" customWidth="1"/>
    <col min="9226" max="9226" width="21.5546875" style="4" bestFit="1" customWidth="1"/>
    <col min="9227" max="9227" width="22.109375" style="4" bestFit="1" customWidth="1"/>
    <col min="9228" max="9228" width="22.6640625" style="4" bestFit="1" customWidth="1"/>
    <col min="9229" max="9229" width="22.109375" style="4" bestFit="1" customWidth="1"/>
    <col min="9230" max="9230" width="22.6640625" style="4" bestFit="1" customWidth="1"/>
    <col min="9231" max="9231" width="21" style="4" bestFit="1" customWidth="1"/>
    <col min="9232" max="9232" width="28.44140625" style="4" customWidth="1"/>
    <col min="9233" max="9233" width="21" style="4" bestFit="1" customWidth="1"/>
    <col min="9234" max="9234" width="24.109375" style="4" bestFit="1" customWidth="1"/>
    <col min="9235" max="9235" width="21.5546875" style="4" customWidth="1"/>
    <col min="9236" max="9236" width="21.33203125" style="4" customWidth="1"/>
    <col min="9237" max="9237" width="21.5546875" style="4" bestFit="1" customWidth="1"/>
    <col min="9238" max="9238" width="22.6640625" style="4" bestFit="1" customWidth="1"/>
    <col min="9239" max="9242" width="21" style="4" bestFit="1" customWidth="1"/>
    <col min="9243" max="9243" width="22.109375" style="4" bestFit="1" customWidth="1"/>
    <col min="9244" max="9244" width="25.5546875" style="4" bestFit="1" customWidth="1"/>
    <col min="9245" max="9245" width="27.33203125" style="4" customWidth="1"/>
    <col min="9246" max="9246" width="26" style="4" customWidth="1"/>
    <col min="9247" max="9247" width="26.88671875" style="4" customWidth="1"/>
    <col min="9248" max="9248" width="32.44140625" style="4" bestFit="1" customWidth="1"/>
    <col min="9249" max="9468" width="11.44140625" style="4"/>
    <col min="9469" max="9469" width="29.6640625" style="4" customWidth="1"/>
    <col min="9470" max="9470" width="6.5546875" style="4" customWidth="1"/>
    <col min="9471" max="9471" width="37" style="4" customWidth="1"/>
    <col min="9472" max="9472" width="8.88671875" style="4" customWidth="1"/>
    <col min="9473" max="9473" width="52.109375" style="4" customWidth="1"/>
    <col min="9474" max="9474" width="13.44140625" style="4" customWidth="1"/>
    <col min="9475" max="9475" width="22" style="4" bestFit="1" customWidth="1"/>
    <col min="9476" max="9476" width="24.44140625" style="4" bestFit="1" customWidth="1"/>
    <col min="9477" max="9477" width="26.33203125" style="4" customWidth="1"/>
    <col min="9478" max="9478" width="23.44140625" style="4" customWidth="1"/>
    <col min="9479" max="9479" width="21.88671875" style="4" customWidth="1"/>
    <col min="9480" max="9481" width="21.6640625" style="4" customWidth="1"/>
    <col min="9482" max="9482" width="21.5546875" style="4" bestFit="1" customWidth="1"/>
    <col min="9483" max="9483" width="22.109375" style="4" bestFit="1" customWidth="1"/>
    <col min="9484" max="9484" width="22.6640625" style="4" bestFit="1" customWidth="1"/>
    <col min="9485" max="9485" width="22.109375" style="4" bestFit="1" customWidth="1"/>
    <col min="9486" max="9486" width="22.6640625" style="4" bestFit="1" customWidth="1"/>
    <col min="9487" max="9487" width="21" style="4" bestFit="1" customWidth="1"/>
    <col min="9488" max="9488" width="28.44140625" style="4" customWidth="1"/>
    <col min="9489" max="9489" width="21" style="4" bestFit="1" customWidth="1"/>
    <col min="9490" max="9490" width="24.109375" style="4" bestFit="1" customWidth="1"/>
    <col min="9491" max="9491" width="21.5546875" style="4" customWidth="1"/>
    <col min="9492" max="9492" width="21.33203125" style="4" customWidth="1"/>
    <col min="9493" max="9493" width="21.5546875" style="4" bestFit="1" customWidth="1"/>
    <col min="9494" max="9494" width="22.6640625" style="4" bestFit="1" customWidth="1"/>
    <col min="9495" max="9498" width="21" style="4" bestFit="1" customWidth="1"/>
    <col min="9499" max="9499" width="22.109375" style="4" bestFit="1" customWidth="1"/>
    <col min="9500" max="9500" width="25.5546875" style="4" bestFit="1" customWidth="1"/>
    <col min="9501" max="9501" width="27.33203125" style="4" customWidth="1"/>
    <col min="9502" max="9502" width="26" style="4" customWidth="1"/>
    <col min="9503" max="9503" width="26.88671875" style="4" customWidth="1"/>
    <col min="9504" max="9504" width="32.44140625" style="4" bestFit="1" customWidth="1"/>
    <col min="9505" max="9724" width="11.44140625" style="4"/>
    <col min="9725" max="9725" width="29.6640625" style="4" customWidth="1"/>
    <col min="9726" max="9726" width="6.5546875" style="4" customWidth="1"/>
    <col min="9727" max="9727" width="37" style="4" customWidth="1"/>
    <col min="9728" max="9728" width="8.88671875" style="4" customWidth="1"/>
    <col min="9729" max="9729" width="52.109375" style="4" customWidth="1"/>
    <col min="9730" max="9730" width="13.44140625" style="4" customWidth="1"/>
    <col min="9731" max="9731" width="22" style="4" bestFit="1" customWidth="1"/>
    <col min="9732" max="9732" width="24.44140625" style="4" bestFit="1" customWidth="1"/>
    <col min="9733" max="9733" width="26.33203125" style="4" customWidth="1"/>
    <col min="9734" max="9734" width="23.44140625" style="4" customWidth="1"/>
    <col min="9735" max="9735" width="21.88671875" style="4" customWidth="1"/>
    <col min="9736" max="9737" width="21.6640625" style="4" customWidth="1"/>
    <col min="9738" max="9738" width="21.5546875" style="4" bestFit="1" customWidth="1"/>
    <col min="9739" max="9739" width="22.109375" style="4" bestFit="1" customWidth="1"/>
    <col min="9740" max="9740" width="22.6640625" style="4" bestFit="1" customWidth="1"/>
    <col min="9741" max="9741" width="22.109375" style="4" bestFit="1" customWidth="1"/>
    <col min="9742" max="9742" width="22.6640625" style="4" bestFit="1" customWidth="1"/>
    <col min="9743" max="9743" width="21" style="4" bestFit="1" customWidth="1"/>
    <col min="9744" max="9744" width="28.44140625" style="4" customWidth="1"/>
    <col min="9745" max="9745" width="21" style="4" bestFit="1" customWidth="1"/>
    <col min="9746" max="9746" width="24.109375" style="4" bestFit="1" customWidth="1"/>
    <col min="9747" max="9747" width="21.5546875" style="4" customWidth="1"/>
    <col min="9748" max="9748" width="21.33203125" style="4" customWidth="1"/>
    <col min="9749" max="9749" width="21.5546875" style="4" bestFit="1" customWidth="1"/>
    <col min="9750" max="9750" width="22.6640625" style="4" bestFit="1" customWidth="1"/>
    <col min="9751" max="9754" width="21" style="4" bestFit="1" customWidth="1"/>
    <col min="9755" max="9755" width="22.109375" style="4" bestFit="1" customWidth="1"/>
    <col min="9756" max="9756" width="25.5546875" style="4" bestFit="1" customWidth="1"/>
    <col min="9757" max="9757" width="27.33203125" style="4" customWidth="1"/>
    <col min="9758" max="9758" width="26" style="4" customWidth="1"/>
    <col min="9759" max="9759" width="26.88671875" style="4" customWidth="1"/>
    <col min="9760" max="9760" width="32.44140625" style="4" bestFit="1" customWidth="1"/>
    <col min="9761" max="9980" width="11.44140625" style="4"/>
    <col min="9981" max="9981" width="29.6640625" style="4" customWidth="1"/>
    <col min="9982" max="9982" width="6.5546875" style="4" customWidth="1"/>
    <col min="9983" max="9983" width="37" style="4" customWidth="1"/>
    <col min="9984" max="9984" width="8.88671875" style="4" customWidth="1"/>
    <col min="9985" max="9985" width="52.109375" style="4" customWidth="1"/>
    <col min="9986" max="9986" width="13.44140625" style="4" customWidth="1"/>
    <col min="9987" max="9987" width="22" style="4" bestFit="1" customWidth="1"/>
    <col min="9988" max="9988" width="24.44140625" style="4" bestFit="1" customWidth="1"/>
    <col min="9989" max="9989" width="26.33203125" style="4" customWidth="1"/>
    <col min="9990" max="9990" width="23.44140625" style="4" customWidth="1"/>
    <col min="9991" max="9991" width="21.88671875" style="4" customWidth="1"/>
    <col min="9992" max="9993" width="21.6640625" style="4" customWidth="1"/>
    <col min="9994" max="9994" width="21.5546875" style="4" bestFit="1" customWidth="1"/>
    <col min="9995" max="9995" width="22.109375" style="4" bestFit="1" customWidth="1"/>
    <col min="9996" max="9996" width="22.6640625" style="4" bestFit="1" customWidth="1"/>
    <col min="9997" max="9997" width="22.109375" style="4" bestFit="1" customWidth="1"/>
    <col min="9998" max="9998" width="22.6640625" style="4" bestFit="1" customWidth="1"/>
    <col min="9999" max="9999" width="21" style="4" bestFit="1" customWidth="1"/>
    <col min="10000" max="10000" width="28.44140625" style="4" customWidth="1"/>
    <col min="10001" max="10001" width="21" style="4" bestFit="1" customWidth="1"/>
    <col min="10002" max="10002" width="24.109375" style="4" bestFit="1" customWidth="1"/>
    <col min="10003" max="10003" width="21.5546875" style="4" customWidth="1"/>
    <col min="10004" max="10004" width="21.33203125" style="4" customWidth="1"/>
    <col min="10005" max="10005" width="21.5546875" style="4" bestFit="1" customWidth="1"/>
    <col min="10006" max="10006" width="22.6640625" style="4" bestFit="1" customWidth="1"/>
    <col min="10007" max="10010" width="21" style="4" bestFit="1" customWidth="1"/>
    <col min="10011" max="10011" width="22.109375" style="4" bestFit="1" customWidth="1"/>
    <col min="10012" max="10012" width="25.5546875" style="4" bestFit="1" customWidth="1"/>
    <col min="10013" max="10013" width="27.33203125" style="4" customWidth="1"/>
    <col min="10014" max="10014" width="26" style="4" customWidth="1"/>
    <col min="10015" max="10015" width="26.88671875" style="4" customWidth="1"/>
    <col min="10016" max="10016" width="32.44140625" style="4" bestFit="1" customWidth="1"/>
    <col min="10017" max="10236" width="11.44140625" style="4"/>
    <col min="10237" max="10237" width="29.6640625" style="4" customWidth="1"/>
    <col min="10238" max="10238" width="6.5546875" style="4" customWidth="1"/>
    <col min="10239" max="10239" width="37" style="4" customWidth="1"/>
    <col min="10240" max="10240" width="8.88671875" style="4" customWidth="1"/>
    <col min="10241" max="10241" width="52.109375" style="4" customWidth="1"/>
    <col min="10242" max="10242" width="13.44140625" style="4" customWidth="1"/>
    <col min="10243" max="10243" width="22" style="4" bestFit="1" customWidth="1"/>
    <col min="10244" max="10244" width="24.44140625" style="4" bestFit="1" customWidth="1"/>
    <col min="10245" max="10245" width="26.33203125" style="4" customWidth="1"/>
    <col min="10246" max="10246" width="23.44140625" style="4" customWidth="1"/>
    <col min="10247" max="10247" width="21.88671875" style="4" customWidth="1"/>
    <col min="10248" max="10249" width="21.6640625" style="4" customWidth="1"/>
    <col min="10250" max="10250" width="21.5546875" style="4" bestFit="1" customWidth="1"/>
    <col min="10251" max="10251" width="22.109375" style="4" bestFit="1" customWidth="1"/>
    <col min="10252" max="10252" width="22.6640625" style="4" bestFit="1" customWidth="1"/>
    <col min="10253" max="10253" width="22.109375" style="4" bestFit="1" customWidth="1"/>
    <col min="10254" max="10254" width="22.6640625" style="4" bestFit="1" customWidth="1"/>
    <col min="10255" max="10255" width="21" style="4" bestFit="1" customWidth="1"/>
    <col min="10256" max="10256" width="28.44140625" style="4" customWidth="1"/>
    <col min="10257" max="10257" width="21" style="4" bestFit="1" customWidth="1"/>
    <col min="10258" max="10258" width="24.109375" style="4" bestFit="1" customWidth="1"/>
    <col min="10259" max="10259" width="21.5546875" style="4" customWidth="1"/>
    <col min="10260" max="10260" width="21.33203125" style="4" customWidth="1"/>
    <col min="10261" max="10261" width="21.5546875" style="4" bestFit="1" customWidth="1"/>
    <col min="10262" max="10262" width="22.6640625" style="4" bestFit="1" customWidth="1"/>
    <col min="10263" max="10266" width="21" style="4" bestFit="1" customWidth="1"/>
    <col min="10267" max="10267" width="22.109375" style="4" bestFit="1" customWidth="1"/>
    <col min="10268" max="10268" width="25.5546875" style="4" bestFit="1" customWidth="1"/>
    <col min="10269" max="10269" width="27.33203125" style="4" customWidth="1"/>
    <col min="10270" max="10270" width="26" style="4" customWidth="1"/>
    <col min="10271" max="10271" width="26.88671875" style="4" customWidth="1"/>
    <col min="10272" max="10272" width="32.44140625" style="4" bestFit="1" customWidth="1"/>
    <col min="10273" max="10492" width="11.44140625" style="4"/>
    <col min="10493" max="10493" width="29.6640625" style="4" customWidth="1"/>
    <col min="10494" max="10494" width="6.5546875" style="4" customWidth="1"/>
    <col min="10495" max="10495" width="37" style="4" customWidth="1"/>
    <col min="10496" max="10496" width="8.88671875" style="4" customWidth="1"/>
    <col min="10497" max="10497" width="52.109375" style="4" customWidth="1"/>
    <col min="10498" max="10498" width="13.44140625" style="4" customWidth="1"/>
    <col min="10499" max="10499" width="22" style="4" bestFit="1" customWidth="1"/>
    <col min="10500" max="10500" width="24.44140625" style="4" bestFit="1" customWidth="1"/>
    <col min="10501" max="10501" width="26.33203125" style="4" customWidth="1"/>
    <col min="10502" max="10502" width="23.44140625" style="4" customWidth="1"/>
    <col min="10503" max="10503" width="21.88671875" style="4" customWidth="1"/>
    <col min="10504" max="10505" width="21.6640625" style="4" customWidth="1"/>
    <col min="10506" max="10506" width="21.5546875" style="4" bestFit="1" customWidth="1"/>
    <col min="10507" max="10507" width="22.109375" style="4" bestFit="1" customWidth="1"/>
    <col min="10508" max="10508" width="22.6640625" style="4" bestFit="1" customWidth="1"/>
    <col min="10509" max="10509" width="22.109375" style="4" bestFit="1" customWidth="1"/>
    <col min="10510" max="10510" width="22.6640625" style="4" bestFit="1" customWidth="1"/>
    <col min="10511" max="10511" width="21" style="4" bestFit="1" customWidth="1"/>
    <col min="10512" max="10512" width="28.44140625" style="4" customWidth="1"/>
    <col min="10513" max="10513" width="21" style="4" bestFit="1" customWidth="1"/>
    <col min="10514" max="10514" width="24.109375" style="4" bestFit="1" customWidth="1"/>
    <col min="10515" max="10515" width="21.5546875" style="4" customWidth="1"/>
    <col min="10516" max="10516" width="21.33203125" style="4" customWidth="1"/>
    <col min="10517" max="10517" width="21.5546875" style="4" bestFit="1" customWidth="1"/>
    <col min="10518" max="10518" width="22.6640625" style="4" bestFit="1" customWidth="1"/>
    <col min="10519" max="10522" width="21" style="4" bestFit="1" customWidth="1"/>
    <col min="10523" max="10523" width="22.109375" style="4" bestFit="1" customWidth="1"/>
    <col min="10524" max="10524" width="25.5546875" style="4" bestFit="1" customWidth="1"/>
    <col min="10525" max="10525" width="27.33203125" style="4" customWidth="1"/>
    <col min="10526" max="10526" width="26" style="4" customWidth="1"/>
    <col min="10527" max="10527" width="26.88671875" style="4" customWidth="1"/>
    <col min="10528" max="10528" width="32.44140625" style="4" bestFit="1" customWidth="1"/>
    <col min="10529" max="10748" width="11.44140625" style="4"/>
    <col min="10749" max="10749" width="29.6640625" style="4" customWidth="1"/>
    <col min="10750" max="10750" width="6.5546875" style="4" customWidth="1"/>
    <col min="10751" max="10751" width="37" style="4" customWidth="1"/>
    <col min="10752" max="10752" width="8.88671875" style="4" customWidth="1"/>
    <col min="10753" max="10753" width="52.109375" style="4" customWidth="1"/>
    <col min="10754" max="10754" width="13.44140625" style="4" customWidth="1"/>
    <col min="10755" max="10755" width="22" style="4" bestFit="1" customWidth="1"/>
    <col min="10756" max="10756" width="24.44140625" style="4" bestFit="1" customWidth="1"/>
    <col min="10757" max="10757" width="26.33203125" style="4" customWidth="1"/>
    <col min="10758" max="10758" width="23.44140625" style="4" customWidth="1"/>
    <col min="10759" max="10759" width="21.88671875" style="4" customWidth="1"/>
    <col min="10760" max="10761" width="21.6640625" style="4" customWidth="1"/>
    <col min="10762" max="10762" width="21.5546875" style="4" bestFit="1" customWidth="1"/>
    <col min="10763" max="10763" width="22.109375" style="4" bestFit="1" customWidth="1"/>
    <col min="10764" max="10764" width="22.6640625" style="4" bestFit="1" customWidth="1"/>
    <col min="10765" max="10765" width="22.109375" style="4" bestFit="1" customWidth="1"/>
    <col min="10766" max="10766" width="22.6640625" style="4" bestFit="1" customWidth="1"/>
    <col min="10767" max="10767" width="21" style="4" bestFit="1" customWidth="1"/>
    <col min="10768" max="10768" width="28.44140625" style="4" customWidth="1"/>
    <col min="10769" max="10769" width="21" style="4" bestFit="1" customWidth="1"/>
    <col min="10770" max="10770" width="24.109375" style="4" bestFit="1" customWidth="1"/>
    <col min="10771" max="10771" width="21.5546875" style="4" customWidth="1"/>
    <col min="10772" max="10772" width="21.33203125" style="4" customWidth="1"/>
    <col min="10773" max="10773" width="21.5546875" style="4" bestFit="1" customWidth="1"/>
    <col min="10774" max="10774" width="22.6640625" style="4" bestFit="1" customWidth="1"/>
    <col min="10775" max="10778" width="21" style="4" bestFit="1" customWidth="1"/>
    <col min="10779" max="10779" width="22.109375" style="4" bestFit="1" customWidth="1"/>
    <col min="10780" max="10780" width="25.5546875" style="4" bestFit="1" customWidth="1"/>
    <col min="10781" max="10781" width="27.33203125" style="4" customWidth="1"/>
    <col min="10782" max="10782" width="26" style="4" customWidth="1"/>
    <col min="10783" max="10783" width="26.88671875" style="4" customWidth="1"/>
    <col min="10784" max="10784" width="32.44140625" style="4" bestFit="1" customWidth="1"/>
    <col min="10785" max="11004" width="11.44140625" style="4"/>
    <col min="11005" max="11005" width="29.6640625" style="4" customWidth="1"/>
    <col min="11006" max="11006" width="6.5546875" style="4" customWidth="1"/>
    <col min="11007" max="11007" width="37" style="4" customWidth="1"/>
    <col min="11008" max="11008" width="8.88671875" style="4" customWidth="1"/>
    <col min="11009" max="11009" width="52.109375" style="4" customWidth="1"/>
    <col min="11010" max="11010" width="13.44140625" style="4" customWidth="1"/>
    <col min="11011" max="11011" width="22" style="4" bestFit="1" customWidth="1"/>
    <col min="11012" max="11012" width="24.44140625" style="4" bestFit="1" customWidth="1"/>
    <col min="11013" max="11013" width="26.33203125" style="4" customWidth="1"/>
    <col min="11014" max="11014" width="23.44140625" style="4" customWidth="1"/>
    <col min="11015" max="11015" width="21.88671875" style="4" customWidth="1"/>
    <col min="11016" max="11017" width="21.6640625" style="4" customWidth="1"/>
    <col min="11018" max="11018" width="21.5546875" style="4" bestFit="1" customWidth="1"/>
    <col min="11019" max="11019" width="22.109375" style="4" bestFit="1" customWidth="1"/>
    <col min="11020" max="11020" width="22.6640625" style="4" bestFit="1" customWidth="1"/>
    <col min="11021" max="11021" width="22.109375" style="4" bestFit="1" customWidth="1"/>
    <col min="11022" max="11022" width="22.6640625" style="4" bestFit="1" customWidth="1"/>
    <col min="11023" max="11023" width="21" style="4" bestFit="1" customWidth="1"/>
    <col min="11024" max="11024" width="28.44140625" style="4" customWidth="1"/>
    <col min="11025" max="11025" width="21" style="4" bestFit="1" customWidth="1"/>
    <col min="11026" max="11026" width="24.109375" style="4" bestFit="1" customWidth="1"/>
    <col min="11027" max="11027" width="21.5546875" style="4" customWidth="1"/>
    <col min="11028" max="11028" width="21.33203125" style="4" customWidth="1"/>
    <col min="11029" max="11029" width="21.5546875" style="4" bestFit="1" customWidth="1"/>
    <col min="11030" max="11030" width="22.6640625" style="4" bestFit="1" customWidth="1"/>
    <col min="11031" max="11034" width="21" style="4" bestFit="1" customWidth="1"/>
    <col min="11035" max="11035" width="22.109375" style="4" bestFit="1" customWidth="1"/>
    <col min="11036" max="11036" width="25.5546875" style="4" bestFit="1" customWidth="1"/>
    <col min="11037" max="11037" width="27.33203125" style="4" customWidth="1"/>
    <col min="11038" max="11038" width="26" style="4" customWidth="1"/>
    <col min="11039" max="11039" width="26.88671875" style="4" customWidth="1"/>
    <col min="11040" max="11040" width="32.44140625" style="4" bestFit="1" customWidth="1"/>
    <col min="11041" max="11260" width="11.44140625" style="4"/>
    <col min="11261" max="11261" width="29.6640625" style="4" customWidth="1"/>
    <col min="11262" max="11262" width="6.5546875" style="4" customWidth="1"/>
    <col min="11263" max="11263" width="37" style="4" customWidth="1"/>
    <col min="11264" max="11264" width="8.88671875" style="4" customWidth="1"/>
    <col min="11265" max="11265" width="52.109375" style="4" customWidth="1"/>
    <col min="11266" max="11266" width="13.44140625" style="4" customWidth="1"/>
    <col min="11267" max="11267" width="22" style="4" bestFit="1" customWidth="1"/>
    <col min="11268" max="11268" width="24.44140625" style="4" bestFit="1" customWidth="1"/>
    <col min="11269" max="11269" width="26.33203125" style="4" customWidth="1"/>
    <col min="11270" max="11270" width="23.44140625" style="4" customWidth="1"/>
    <col min="11271" max="11271" width="21.88671875" style="4" customWidth="1"/>
    <col min="11272" max="11273" width="21.6640625" style="4" customWidth="1"/>
    <col min="11274" max="11274" width="21.5546875" style="4" bestFit="1" customWidth="1"/>
    <col min="11275" max="11275" width="22.109375" style="4" bestFit="1" customWidth="1"/>
    <col min="11276" max="11276" width="22.6640625" style="4" bestFit="1" customWidth="1"/>
    <col min="11277" max="11277" width="22.109375" style="4" bestFit="1" customWidth="1"/>
    <col min="11278" max="11278" width="22.6640625" style="4" bestFit="1" customWidth="1"/>
    <col min="11279" max="11279" width="21" style="4" bestFit="1" customWidth="1"/>
    <col min="11280" max="11280" width="28.44140625" style="4" customWidth="1"/>
    <col min="11281" max="11281" width="21" style="4" bestFit="1" customWidth="1"/>
    <col min="11282" max="11282" width="24.109375" style="4" bestFit="1" customWidth="1"/>
    <col min="11283" max="11283" width="21.5546875" style="4" customWidth="1"/>
    <col min="11284" max="11284" width="21.33203125" style="4" customWidth="1"/>
    <col min="11285" max="11285" width="21.5546875" style="4" bestFit="1" customWidth="1"/>
    <col min="11286" max="11286" width="22.6640625" style="4" bestFit="1" customWidth="1"/>
    <col min="11287" max="11290" width="21" style="4" bestFit="1" customWidth="1"/>
    <col min="11291" max="11291" width="22.109375" style="4" bestFit="1" customWidth="1"/>
    <col min="11292" max="11292" width="25.5546875" style="4" bestFit="1" customWidth="1"/>
    <col min="11293" max="11293" width="27.33203125" style="4" customWidth="1"/>
    <col min="11294" max="11294" width="26" style="4" customWidth="1"/>
    <col min="11295" max="11295" width="26.88671875" style="4" customWidth="1"/>
    <col min="11296" max="11296" width="32.44140625" style="4" bestFit="1" customWidth="1"/>
    <col min="11297" max="11516" width="11.44140625" style="4"/>
    <col min="11517" max="11517" width="29.6640625" style="4" customWidth="1"/>
    <col min="11518" max="11518" width="6.5546875" style="4" customWidth="1"/>
    <col min="11519" max="11519" width="37" style="4" customWidth="1"/>
    <col min="11520" max="11520" width="8.88671875" style="4" customWidth="1"/>
    <col min="11521" max="11521" width="52.109375" style="4" customWidth="1"/>
    <col min="11522" max="11522" width="13.44140625" style="4" customWidth="1"/>
    <col min="11523" max="11523" width="22" style="4" bestFit="1" customWidth="1"/>
    <col min="11524" max="11524" width="24.44140625" style="4" bestFit="1" customWidth="1"/>
    <col min="11525" max="11525" width="26.33203125" style="4" customWidth="1"/>
    <col min="11526" max="11526" width="23.44140625" style="4" customWidth="1"/>
    <col min="11527" max="11527" width="21.88671875" style="4" customWidth="1"/>
    <col min="11528" max="11529" width="21.6640625" style="4" customWidth="1"/>
    <col min="11530" max="11530" width="21.5546875" style="4" bestFit="1" customWidth="1"/>
    <col min="11531" max="11531" width="22.109375" style="4" bestFit="1" customWidth="1"/>
    <col min="11532" max="11532" width="22.6640625" style="4" bestFit="1" customWidth="1"/>
    <col min="11533" max="11533" width="22.109375" style="4" bestFit="1" customWidth="1"/>
    <col min="11534" max="11534" width="22.6640625" style="4" bestFit="1" customWidth="1"/>
    <col min="11535" max="11535" width="21" style="4" bestFit="1" customWidth="1"/>
    <col min="11536" max="11536" width="28.44140625" style="4" customWidth="1"/>
    <col min="11537" max="11537" width="21" style="4" bestFit="1" customWidth="1"/>
    <col min="11538" max="11538" width="24.109375" style="4" bestFit="1" customWidth="1"/>
    <col min="11539" max="11539" width="21.5546875" style="4" customWidth="1"/>
    <col min="11540" max="11540" width="21.33203125" style="4" customWidth="1"/>
    <col min="11541" max="11541" width="21.5546875" style="4" bestFit="1" customWidth="1"/>
    <col min="11542" max="11542" width="22.6640625" style="4" bestFit="1" customWidth="1"/>
    <col min="11543" max="11546" width="21" style="4" bestFit="1" customWidth="1"/>
    <col min="11547" max="11547" width="22.109375" style="4" bestFit="1" customWidth="1"/>
    <col min="11548" max="11548" width="25.5546875" style="4" bestFit="1" customWidth="1"/>
    <col min="11549" max="11549" width="27.33203125" style="4" customWidth="1"/>
    <col min="11550" max="11550" width="26" style="4" customWidth="1"/>
    <col min="11551" max="11551" width="26.88671875" style="4" customWidth="1"/>
    <col min="11552" max="11552" width="32.44140625" style="4" bestFit="1" customWidth="1"/>
    <col min="11553" max="11772" width="11.44140625" style="4"/>
    <col min="11773" max="11773" width="29.6640625" style="4" customWidth="1"/>
    <col min="11774" max="11774" width="6.5546875" style="4" customWidth="1"/>
    <col min="11775" max="11775" width="37" style="4" customWidth="1"/>
    <col min="11776" max="11776" width="8.88671875" style="4" customWidth="1"/>
    <col min="11777" max="11777" width="52.109375" style="4" customWidth="1"/>
    <col min="11778" max="11778" width="13.44140625" style="4" customWidth="1"/>
    <col min="11779" max="11779" width="22" style="4" bestFit="1" customWidth="1"/>
    <col min="11780" max="11780" width="24.44140625" style="4" bestFit="1" customWidth="1"/>
    <col min="11781" max="11781" width="26.33203125" style="4" customWidth="1"/>
    <col min="11782" max="11782" width="23.44140625" style="4" customWidth="1"/>
    <col min="11783" max="11783" width="21.88671875" style="4" customWidth="1"/>
    <col min="11784" max="11785" width="21.6640625" style="4" customWidth="1"/>
    <col min="11786" max="11786" width="21.5546875" style="4" bestFit="1" customWidth="1"/>
    <col min="11787" max="11787" width="22.109375" style="4" bestFit="1" customWidth="1"/>
    <col min="11788" max="11788" width="22.6640625" style="4" bestFit="1" customWidth="1"/>
    <col min="11789" max="11789" width="22.109375" style="4" bestFit="1" customWidth="1"/>
    <col min="11790" max="11790" width="22.6640625" style="4" bestFit="1" customWidth="1"/>
    <col min="11791" max="11791" width="21" style="4" bestFit="1" customWidth="1"/>
    <col min="11792" max="11792" width="28.44140625" style="4" customWidth="1"/>
    <col min="11793" max="11793" width="21" style="4" bestFit="1" customWidth="1"/>
    <col min="11794" max="11794" width="24.109375" style="4" bestFit="1" customWidth="1"/>
    <col min="11795" max="11795" width="21.5546875" style="4" customWidth="1"/>
    <col min="11796" max="11796" width="21.33203125" style="4" customWidth="1"/>
    <col min="11797" max="11797" width="21.5546875" style="4" bestFit="1" customWidth="1"/>
    <col min="11798" max="11798" width="22.6640625" style="4" bestFit="1" customWidth="1"/>
    <col min="11799" max="11802" width="21" style="4" bestFit="1" customWidth="1"/>
    <col min="11803" max="11803" width="22.109375" style="4" bestFit="1" customWidth="1"/>
    <col min="11804" max="11804" width="25.5546875" style="4" bestFit="1" customWidth="1"/>
    <col min="11805" max="11805" width="27.33203125" style="4" customWidth="1"/>
    <col min="11806" max="11806" width="26" style="4" customWidth="1"/>
    <col min="11807" max="11807" width="26.88671875" style="4" customWidth="1"/>
    <col min="11808" max="11808" width="32.44140625" style="4" bestFit="1" customWidth="1"/>
    <col min="11809" max="12028" width="11.44140625" style="4"/>
    <col min="12029" max="12029" width="29.6640625" style="4" customWidth="1"/>
    <col min="12030" max="12030" width="6.5546875" style="4" customWidth="1"/>
    <col min="12031" max="12031" width="37" style="4" customWidth="1"/>
    <col min="12032" max="12032" width="8.88671875" style="4" customWidth="1"/>
    <col min="12033" max="12033" width="52.109375" style="4" customWidth="1"/>
    <col min="12034" max="12034" width="13.44140625" style="4" customWidth="1"/>
    <col min="12035" max="12035" width="22" style="4" bestFit="1" customWidth="1"/>
    <col min="12036" max="12036" width="24.44140625" style="4" bestFit="1" customWidth="1"/>
    <col min="12037" max="12037" width="26.33203125" style="4" customWidth="1"/>
    <col min="12038" max="12038" width="23.44140625" style="4" customWidth="1"/>
    <col min="12039" max="12039" width="21.88671875" style="4" customWidth="1"/>
    <col min="12040" max="12041" width="21.6640625" style="4" customWidth="1"/>
    <col min="12042" max="12042" width="21.5546875" style="4" bestFit="1" customWidth="1"/>
    <col min="12043" max="12043" width="22.109375" style="4" bestFit="1" customWidth="1"/>
    <col min="12044" max="12044" width="22.6640625" style="4" bestFit="1" customWidth="1"/>
    <col min="12045" max="12045" width="22.109375" style="4" bestFit="1" customWidth="1"/>
    <col min="12046" max="12046" width="22.6640625" style="4" bestFit="1" customWidth="1"/>
    <col min="12047" max="12047" width="21" style="4" bestFit="1" customWidth="1"/>
    <col min="12048" max="12048" width="28.44140625" style="4" customWidth="1"/>
    <col min="12049" max="12049" width="21" style="4" bestFit="1" customWidth="1"/>
    <col min="12050" max="12050" width="24.109375" style="4" bestFit="1" customWidth="1"/>
    <col min="12051" max="12051" width="21.5546875" style="4" customWidth="1"/>
    <col min="12052" max="12052" width="21.33203125" style="4" customWidth="1"/>
    <col min="12053" max="12053" width="21.5546875" style="4" bestFit="1" customWidth="1"/>
    <col min="12054" max="12054" width="22.6640625" style="4" bestFit="1" customWidth="1"/>
    <col min="12055" max="12058" width="21" style="4" bestFit="1" customWidth="1"/>
    <col min="12059" max="12059" width="22.109375" style="4" bestFit="1" customWidth="1"/>
    <col min="12060" max="12060" width="25.5546875" style="4" bestFit="1" customWidth="1"/>
    <col min="12061" max="12061" width="27.33203125" style="4" customWidth="1"/>
    <col min="12062" max="12062" width="26" style="4" customWidth="1"/>
    <col min="12063" max="12063" width="26.88671875" style="4" customWidth="1"/>
    <col min="12064" max="12064" width="32.44140625" style="4" bestFit="1" customWidth="1"/>
    <col min="12065" max="12284" width="11.44140625" style="4"/>
    <col min="12285" max="12285" width="29.6640625" style="4" customWidth="1"/>
    <col min="12286" max="12286" width="6.5546875" style="4" customWidth="1"/>
    <col min="12287" max="12287" width="37" style="4" customWidth="1"/>
    <col min="12288" max="12288" width="8.88671875" style="4" customWidth="1"/>
    <col min="12289" max="12289" width="52.109375" style="4" customWidth="1"/>
    <col min="12290" max="12290" width="13.44140625" style="4" customWidth="1"/>
    <col min="12291" max="12291" width="22" style="4" bestFit="1" customWidth="1"/>
    <col min="12292" max="12292" width="24.44140625" style="4" bestFit="1" customWidth="1"/>
    <col min="12293" max="12293" width="26.33203125" style="4" customWidth="1"/>
    <col min="12294" max="12294" width="23.44140625" style="4" customWidth="1"/>
    <col min="12295" max="12295" width="21.88671875" style="4" customWidth="1"/>
    <col min="12296" max="12297" width="21.6640625" style="4" customWidth="1"/>
    <col min="12298" max="12298" width="21.5546875" style="4" bestFit="1" customWidth="1"/>
    <col min="12299" max="12299" width="22.109375" style="4" bestFit="1" customWidth="1"/>
    <col min="12300" max="12300" width="22.6640625" style="4" bestFit="1" customWidth="1"/>
    <col min="12301" max="12301" width="22.109375" style="4" bestFit="1" customWidth="1"/>
    <col min="12302" max="12302" width="22.6640625" style="4" bestFit="1" customWidth="1"/>
    <col min="12303" max="12303" width="21" style="4" bestFit="1" customWidth="1"/>
    <col min="12304" max="12304" width="28.44140625" style="4" customWidth="1"/>
    <col min="12305" max="12305" width="21" style="4" bestFit="1" customWidth="1"/>
    <col min="12306" max="12306" width="24.109375" style="4" bestFit="1" customWidth="1"/>
    <col min="12307" max="12307" width="21.5546875" style="4" customWidth="1"/>
    <col min="12308" max="12308" width="21.33203125" style="4" customWidth="1"/>
    <col min="12309" max="12309" width="21.5546875" style="4" bestFit="1" customWidth="1"/>
    <col min="12310" max="12310" width="22.6640625" style="4" bestFit="1" customWidth="1"/>
    <col min="12311" max="12314" width="21" style="4" bestFit="1" customWidth="1"/>
    <col min="12315" max="12315" width="22.109375" style="4" bestFit="1" customWidth="1"/>
    <col min="12316" max="12316" width="25.5546875" style="4" bestFit="1" customWidth="1"/>
    <col min="12317" max="12317" width="27.33203125" style="4" customWidth="1"/>
    <col min="12318" max="12318" width="26" style="4" customWidth="1"/>
    <col min="12319" max="12319" width="26.88671875" style="4" customWidth="1"/>
    <col min="12320" max="12320" width="32.44140625" style="4" bestFit="1" customWidth="1"/>
    <col min="12321" max="12540" width="11.44140625" style="4"/>
    <col min="12541" max="12541" width="29.6640625" style="4" customWidth="1"/>
    <col min="12542" max="12542" width="6.5546875" style="4" customWidth="1"/>
    <col min="12543" max="12543" width="37" style="4" customWidth="1"/>
    <col min="12544" max="12544" width="8.88671875" style="4" customWidth="1"/>
    <col min="12545" max="12545" width="52.109375" style="4" customWidth="1"/>
    <col min="12546" max="12546" width="13.44140625" style="4" customWidth="1"/>
    <col min="12547" max="12547" width="22" style="4" bestFit="1" customWidth="1"/>
    <col min="12548" max="12548" width="24.44140625" style="4" bestFit="1" customWidth="1"/>
    <col min="12549" max="12549" width="26.33203125" style="4" customWidth="1"/>
    <col min="12550" max="12550" width="23.44140625" style="4" customWidth="1"/>
    <col min="12551" max="12551" width="21.88671875" style="4" customWidth="1"/>
    <col min="12552" max="12553" width="21.6640625" style="4" customWidth="1"/>
    <col min="12554" max="12554" width="21.5546875" style="4" bestFit="1" customWidth="1"/>
    <col min="12555" max="12555" width="22.109375" style="4" bestFit="1" customWidth="1"/>
    <col min="12556" max="12556" width="22.6640625" style="4" bestFit="1" customWidth="1"/>
    <col min="12557" max="12557" width="22.109375" style="4" bestFit="1" customWidth="1"/>
    <col min="12558" max="12558" width="22.6640625" style="4" bestFit="1" customWidth="1"/>
    <col min="12559" max="12559" width="21" style="4" bestFit="1" customWidth="1"/>
    <col min="12560" max="12560" width="28.44140625" style="4" customWidth="1"/>
    <col min="12561" max="12561" width="21" style="4" bestFit="1" customWidth="1"/>
    <col min="12562" max="12562" width="24.109375" style="4" bestFit="1" customWidth="1"/>
    <col min="12563" max="12563" width="21.5546875" style="4" customWidth="1"/>
    <col min="12564" max="12564" width="21.33203125" style="4" customWidth="1"/>
    <col min="12565" max="12565" width="21.5546875" style="4" bestFit="1" customWidth="1"/>
    <col min="12566" max="12566" width="22.6640625" style="4" bestFit="1" customWidth="1"/>
    <col min="12567" max="12570" width="21" style="4" bestFit="1" customWidth="1"/>
    <col min="12571" max="12571" width="22.109375" style="4" bestFit="1" customWidth="1"/>
    <col min="12572" max="12572" width="25.5546875" style="4" bestFit="1" customWidth="1"/>
    <col min="12573" max="12573" width="27.33203125" style="4" customWidth="1"/>
    <col min="12574" max="12574" width="26" style="4" customWidth="1"/>
    <col min="12575" max="12575" width="26.88671875" style="4" customWidth="1"/>
    <col min="12576" max="12576" width="32.44140625" style="4" bestFit="1" customWidth="1"/>
    <col min="12577" max="12796" width="11.44140625" style="4"/>
    <col min="12797" max="12797" width="29.6640625" style="4" customWidth="1"/>
    <col min="12798" max="12798" width="6.5546875" style="4" customWidth="1"/>
    <col min="12799" max="12799" width="37" style="4" customWidth="1"/>
    <col min="12800" max="12800" width="8.88671875" style="4" customWidth="1"/>
    <col min="12801" max="12801" width="52.109375" style="4" customWidth="1"/>
    <col min="12802" max="12802" width="13.44140625" style="4" customWidth="1"/>
    <col min="12803" max="12803" width="22" style="4" bestFit="1" customWidth="1"/>
    <col min="12804" max="12804" width="24.44140625" style="4" bestFit="1" customWidth="1"/>
    <col min="12805" max="12805" width="26.33203125" style="4" customWidth="1"/>
    <col min="12806" max="12806" width="23.44140625" style="4" customWidth="1"/>
    <col min="12807" max="12807" width="21.88671875" style="4" customWidth="1"/>
    <col min="12808" max="12809" width="21.6640625" style="4" customWidth="1"/>
    <col min="12810" max="12810" width="21.5546875" style="4" bestFit="1" customWidth="1"/>
    <col min="12811" max="12811" width="22.109375" style="4" bestFit="1" customWidth="1"/>
    <col min="12812" max="12812" width="22.6640625" style="4" bestFit="1" customWidth="1"/>
    <col min="12813" max="12813" width="22.109375" style="4" bestFit="1" customWidth="1"/>
    <col min="12814" max="12814" width="22.6640625" style="4" bestFit="1" customWidth="1"/>
    <col min="12815" max="12815" width="21" style="4" bestFit="1" customWidth="1"/>
    <col min="12816" max="12816" width="28.44140625" style="4" customWidth="1"/>
    <col min="12817" max="12817" width="21" style="4" bestFit="1" customWidth="1"/>
    <col min="12818" max="12818" width="24.109375" style="4" bestFit="1" customWidth="1"/>
    <col min="12819" max="12819" width="21.5546875" style="4" customWidth="1"/>
    <col min="12820" max="12820" width="21.33203125" style="4" customWidth="1"/>
    <col min="12821" max="12821" width="21.5546875" style="4" bestFit="1" customWidth="1"/>
    <col min="12822" max="12822" width="22.6640625" style="4" bestFit="1" customWidth="1"/>
    <col min="12823" max="12826" width="21" style="4" bestFit="1" customWidth="1"/>
    <col min="12827" max="12827" width="22.109375" style="4" bestFit="1" customWidth="1"/>
    <col min="12828" max="12828" width="25.5546875" style="4" bestFit="1" customWidth="1"/>
    <col min="12829" max="12829" width="27.33203125" style="4" customWidth="1"/>
    <col min="12830" max="12830" width="26" style="4" customWidth="1"/>
    <col min="12831" max="12831" width="26.88671875" style="4" customWidth="1"/>
    <col min="12832" max="12832" width="32.44140625" style="4" bestFit="1" customWidth="1"/>
    <col min="12833" max="13052" width="11.44140625" style="4"/>
    <col min="13053" max="13053" width="29.6640625" style="4" customWidth="1"/>
    <col min="13054" max="13054" width="6.5546875" style="4" customWidth="1"/>
    <col min="13055" max="13055" width="37" style="4" customWidth="1"/>
    <col min="13056" max="13056" width="8.88671875" style="4" customWidth="1"/>
    <col min="13057" max="13057" width="52.109375" style="4" customWidth="1"/>
    <col min="13058" max="13058" width="13.44140625" style="4" customWidth="1"/>
    <col min="13059" max="13059" width="22" style="4" bestFit="1" customWidth="1"/>
    <col min="13060" max="13060" width="24.44140625" style="4" bestFit="1" customWidth="1"/>
    <col min="13061" max="13061" width="26.33203125" style="4" customWidth="1"/>
    <col min="13062" max="13062" width="23.44140625" style="4" customWidth="1"/>
    <col min="13063" max="13063" width="21.88671875" style="4" customWidth="1"/>
    <col min="13064" max="13065" width="21.6640625" style="4" customWidth="1"/>
    <col min="13066" max="13066" width="21.5546875" style="4" bestFit="1" customWidth="1"/>
    <col min="13067" max="13067" width="22.109375" style="4" bestFit="1" customWidth="1"/>
    <col min="13068" max="13068" width="22.6640625" style="4" bestFit="1" customWidth="1"/>
    <col min="13069" max="13069" width="22.109375" style="4" bestFit="1" customWidth="1"/>
    <col min="13070" max="13070" width="22.6640625" style="4" bestFit="1" customWidth="1"/>
    <col min="13071" max="13071" width="21" style="4" bestFit="1" customWidth="1"/>
    <col min="13072" max="13072" width="28.44140625" style="4" customWidth="1"/>
    <col min="13073" max="13073" width="21" style="4" bestFit="1" customWidth="1"/>
    <col min="13074" max="13074" width="24.109375" style="4" bestFit="1" customWidth="1"/>
    <col min="13075" max="13075" width="21.5546875" style="4" customWidth="1"/>
    <col min="13076" max="13076" width="21.33203125" style="4" customWidth="1"/>
    <col min="13077" max="13077" width="21.5546875" style="4" bestFit="1" customWidth="1"/>
    <col min="13078" max="13078" width="22.6640625" style="4" bestFit="1" customWidth="1"/>
    <col min="13079" max="13082" width="21" style="4" bestFit="1" customWidth="1"/>
    <col min="13083" max="13083" width="22.109375" style="4" bestFit="1" customWidth="1"/>
    <col min="13084" max="13084" width="25.5546875" style="4" bestFit="1" customWidth="1"/>
    <col min="13085" max="13085" width="27.33203125" style="4" customWidth="1"/>
    <col min="13086" max="13086" width="26" style="4" customWidth="1"/>
    <col min="13087" max="13087" width="26.88671875" style="4" customWidth="1"/>
    <col min="13088" max="13088" width="32.44140625" style="4" bestFit="1" customWidth="1"/>
    <col min="13089" max="13308" width="11.44140625" style="4"/>
    <col min="13309" max="13309" width="29.6640625" style="4" customWidth="1"/>
    <col min="13310" max="13310" width="6.5546875" style="4" customWidth="1"/>
    <col min="13311" max="13311" width="37" style="4" customWidth="1"/>
    <col min="13312" max="13312" width="8.88671875" style="4" customWidth="1"/>
    <col min="13313" max="13313" width="52.109375" style="4" customWidth="1"/>
    <col min="13314" max="13314" width="13.44140625" style="4" customWidth="1"/>
    <col min="13315" max="13315" width="22" style="4" bestFit="1" customWidth="1"/>
    <col min="13316" max="13316" width="24.44140625" style="4" bestFit="1" customWidth="1"/>
    <col min="13317" max="13317" width="26.33203125" style="4" customWidth="1"/>
    <col min="13318" max="13318" width="23.44140625" style="4" customWidth="1"/>
    <col min="13319" max="13319" width="21.88671875" style="4" customWidth="1"/>
    <col min="13320" max="13321" width="21.6640625" style="4" customWidth="1"/>
    <col min="13322" max="13322" width="21.5546875" style="4" bestFit="1" customWidth="1"/>
    <col min="13323" max="13323" width="22.109375" style="4" bestFit="1" customWidth="1"/>
    <col min="13324" max="13324" width="22.6640625" style="4" bestFit="1" customWidth="1"/>
    <col min="13325" max="13325" width="22.109375" style="4" bestFit="1" customWidth="1"/>
    <col min="13326" max="13326" width="22.6640625" style="4" bestFit="1" customWidth="1"/>
    <col min="13327" max="13327" width="21" style="4" bestFit="1" customWidth="1"/>
    <col min="13328" max="13328" width="28.44140625" style="4" customWidth="1"/>
    <col min="13329" max="13329" width="21" style="4" bestFit="1" customWidth="1"/>
    <col min="13330" max="13330" width="24.109375" style="4" bestFit="1" customWidth="1"/>
    <col min="13331" max="13331" width="21.5546875" style="4" customWidth="1"/>
    <col min="13332" max="13332" width="21.33203125" style="4" customWidth="1"/>
    <col min="13333" max="13333" width="21.5546875" style="4" bestFit="1" customWidth="1"/>
    <col min="13334" max="13334" width="22.6640625" style="4" bestFit="1" customWidth="1"/>
    <col min="13335" max="13338" width="21" style="4" bestFit="1" customWidth="1"/>
    <col min="13339" max="13339" width="22.109375" style="4" bestFit="1" customWidth="1"/>
    <col min="13340" max="13340" width="25.5546875" style="4" bestFit="1" customWidth="1"/>
    <col min="13341" max="13341" width="27.33203125" style="4" customWidth="1"/>
    <col min="13342" max="13342" width="26" style="4" customWidth="1"/>
    <col min="13343" max="13343" width="26.88671875" style="4" customWidth="1"/>
    <col min="13344" max="13344" width="32.44140625" style="4" bestFit="1" customWidth="1"/>
    <col min="13345" max="13564" width="11.44140625" style="4"/>
    <col min="13565" max="13565" width="29.6640625" style="4" customWidth="1"/>
    <col min="13566" max="13566" width="6.5546875" style="4" customWidth="1"/>
    <col min="13567" max="13567" width="37" style="4" customWidth="1"/>
    <col min="13568" max="13568" width="8.88671875" style="4" customWidth="1"/>
    <col min="13569" max="13569" width="52.109375" style="4" customWidth="1"/>
    <col min="13570" max="13570" width="13.44140625" style="4" customWidth="1"/>
    <col min="13571" max="13571" width="22" style="4" bestFit="1" customWidth="1"/>
    <col min="13572" max="13572" width="24.44140625" style="4" bestFit="1" customWidth="1"/>
    <col min="13573" max="13573" width="26.33203125" style="4" customWidth="1"/>
    <col min="13574" max="13574" width="23.44140625" style="4" customWidth="1"/>
    <col min="13575" max="13575" width="21.88671875" style="4" customWidth="1"/>
    <col min="13576" max="13577" width="21.6640625" style="4" customWidth="1"/>
    <col min="13578" max="13578" width="21.5546875" style="4" bestFit="1" customWidth="1"/>
    <col min="13579" max="13579" width="22.109375" style="4" bestFit="1" customWidth="1"/>
    <col min="13580" max="13580" width="22.6640625" style="4" bestFit="1" customWidth="1"/>
    <col min="13581" max="13581" width="22.109375" style="4" bestFit="1" customWidth="1"/>
    <col min="13582" max="13582" width="22.6640625" style="4" bestFit="1" customWidth="1"/>
    <col min="13583" max="13583" width="21" style="4" bestFit="1" customWidth="1"/>
    <col min="13584" max="13584" width="28.44140625" style="4" customWidth="1"/>
    <col min="13585" max="13585" width="21" style="4" bestFit="1" customWidth="1"/>
    <col min="13586" max="13586" width="24.109375" style="4" bestFit="1" customWidth="1"/>
    <col min="13587" max="13587" width="21.5546875" style="4" customWidth="1"/>
    <col min="13588" max="13588" width="21.33203125" style="4" customWidth="1"/>
    <col min="13589" max="13589" width="21.5546875" style="4" bestFit="1" customWidth="1"/>
    <col min="13590" max="13590" width="22.6640625" style="4" bestFit="1" customWidth="1"/>
    <col min="13591" max="13594" width="21" style="4" bestFit="1" customWidth="1"/>
    <col min="13595" max="13595" width="22.109375" style="4" bestFit="1" customWidth="1"/>
    <col min="13596" max="13596" width="25.5546875" style="4" bestFit="1" customWidth="1"/>
    <col min="13597" max="13597" width="27.33203125" style="4" customWidth="1"/>
    <col min="13598" max="13598" width="26" style="4" customWidth="1"/>
    <col min="13599" max="13599" width="26.88671875" style="4" customWidth="1"/>
    <col min="13600" max="13600" width="32.44140625" style="4" bestFit="1" customWidth="1"/>
    <col min="13601" max="13820" width="11.44140625" style="4"/>
    <col min="13821" max="13821" width="29.6640625" style="4" customWidth="1"/>
    <col min="13822" max="13822" width="6.5546875" style="4" customWidth="1"/>
    <col min="13823" max="13823" width="37" style="4" customWidth="1"/>
    <col min="13824" max="13824" width="8.88671875" style="4" customWidth="1"/>
    <col min="13825" max="13825" width="52.109375" style="4" customWidth="1"/>
    <col min="13826" max="13826" width="13.44140625" style="4" customWidth="1"/>
    <col min="13827" max="13827" width="22" style="4" bestFit="1" customWidth="1"/>
    <col min="13828" max="13828" width="24.44140625" style="4" bestFit="1" customWidth="1"/>
    <col min="13829" max="13829" width="26.33203125" style="4" customWidth="1"/>
    <col min="13830" max="13830" width="23.44140625" style="4" customWidth="1"/>
    <col min="13831" max="13831" width="21.88671875" style="4" customWidth="1"/>
    <col min="13832" max="13833" width="21.6640625" style="4" customWidth="1"/>
    <col min="13834" max="13834" width="21.5546875" style="4" bestFit="1" customWidth="1"/>
    <col min="13835" max="13835" width="22.109375" style="4" bestFit="1" customWidth="1"/>
    <col min="13836" max="13836" width="22.6640625" style="4" bestFit="1" customWidth="1"/>
    <col min="13837" max="13837" width="22.109375" style="4" bestFit="1" customWidth="1"/>
    <col min="13838" max="13838" width="22.6640625" style="4" bestFit="1" customWidth="1"/>
    <col min="13839" max="13839" width="21" style="4" bestFit="1" customWidth="1"/>
    <col min="13840" max="13840" width="28.44140625" style="4" customWidth="1"/>
    <col min="13841" max="13841" width="21" style="4" bestFit="1" customWidth="1"/>
    <col min="13842" max="13842" width="24.109375" style="4" bestFit="1" customWidth="1"/>
    <col min="13843" max="13843" width="21.5546875" style="4" customWidth="1"/>
    <col min="13844" max="13844" width="21.33203125" style="4" customWidth="1"/>
    <col min="13845" max="13845" width="21.5546875" style="4" bestFit="1" customWidth="1"/>
    <col min="13846" max="13846" width="22.6640625" style="4" bestFit="1" customWidth="1"/>
    <col min="13847" max="13850" width="21" style="4" bestFit="1" customWidth="1"/>
    <col min="13851" max="13851" width="22.109375" style="4" bestFit="1" customWidth="1"/>
    <col min="13852" max="13852" width="25.5546875" style="4" bestFit="1" customWidth="1"/>
    <col min="13853" max="13853" width="27.33203125" style="4" customWidth="1"/>
    <col min="13854" max="13854" width="26" style="4" customWidth="1"/>
    <col min="13855" max="13855" width="26.88671875" style="4" customWidth="1"/>
    <col min="13856" max="13856" width="32.44140625" style="4" bestFit="1" customWidth="1"/>
    <col min="13857" max="14076" width="11.44140625" style="4"/>
    <col min="14077" max="14077" width="29.6640625" style="4" customWidth="1"/>
    <col min="14078" max="14078" width="6.5546875" style="4" customWidth="1"/>
    <col min="14079" max="14079" width="37" style="4" customWidth="1"/>
    <col min="14080" max="14080" width="8.88671875" style="4" customWidth="1"/>
    <col min="14081" max="14081" width="52.109375" style="4" customWidth="1"/>
    <col min="14082" max="14082" width="13.44140625" style="4" customWidth="1"/>
    <col min="14083" max="14083" width="22" style="4" bestFit="1" customWidth="1"/>
    <col min="14084" max="14084" width="24.44140625" style="4" bestFit="1" customWidth="1"/>
    <col min="14085" max="14085" width="26.33203125" style="4" customWidth="1"/>
    <col min="14086" max="14086" width="23.44140625" style="4" customWidth="1"/>
    <col min="14087" max="14087" width="21.88671875" style="4" customWidth="1"/>
    <col min="14088" max="14089" width="21.6640625" style="4" customWidth="1"/>
    <col min="14090" max="14090" width="21.5546875" style="4" bestFit="1" customWidth="1"/>
    <col min="14091" max="14091" width="22.109375" style="4" bestFit="1" customWidth="1"/>
    <col min="14092" max="14092" width="22.6640625" style="4" bestFit="1" customWidth="1"/>
    <col min="14093" max="14093" width="22.109375" style="4" bestFit="1" customWidth="1"/>
    <col min="14094" max="14094" width="22.6640625" style="4" bestFit="1" customWidth="1"/>
    <col min="14095" max="14095" width="21" style="4" bestFit="1" customWidth="1"/>
    <col min="14096" max="14096" width="28.44140625" style="4" customWidth="1"/>
    <col min="14097" max="14097" width="21" style="4" bestFit="1" customWidth="1"/>
    <col min="14098" max="14098" width="24.109375" style="4" bestFit="1" customWidth="1"/>
    <col min="14099" max="14099" width="21.5546875" style="4" customWidth="1"/>
    <col min="14100" max="14100" width="21.33203125" style="4" customWidth="1"/>
    <col min="14101" max="14101" width="21.5546875" style="4" bestFit="1" customWidth="1"/>
    <col min="14102" max="14102" width="22.6640625" style="4" bestFit="1" customWidth="1"/>
    <col min="14103" max="14106" width="21" style="4" bestFit="1" customWidth="1"/>
    <col min="14107" max="14107" width="22.109375" style="4" bestFit="1" customWidth="1"/>
    <col min="14108" max="14108" width="25.5546875" style="4" bestFit="1" customWidth="1"/>
    <col min="14109" max="14109" width="27.33203125" style="4" customWidth="1"/>
    <col min="14110" max="14110" width="26" style="4" customWidth="1"/>
    <col min="14111" max="14111" width="26.88671875" style="4" customWidth="1"/>
    <col min="14112" max="14112" width="32.44140625" style="4" bestFit="1" customWidth="1"/>
    <col min="14113" max="14332" width="11.44140625" style="4"/>
    <col min="14333" max="14333" width="29.6640625" style="4" customWidth="1"/>
    <col min="14334" max="14334" width="6.5546875" style="4" customWidth="1"/>
    <col min="14335" max="14335" width="37" style="4" customWidth="1"/>
    <col min="14336" max="14336" width="8.88671875" style="4" customWidth="1"/>
    <col min="14337" max="14337" width="52.109375" style="4" customWidth="1"/>
    <col min="14338" max="14338" width="13.44140625" style="4" customWidth="1"/>
    <col min="14339" max="14339" width="22" style="4" bestFit="1" customWidth="1"/>
    <col min="14340" max="14340" width="24.44140625" style="4" bestFit="1" customWidth="1"/>
    <col min="14341" max="14341" width="26.33203125" style="4" customWidth="1"/>
    <col min="14342" max="14342" width="23.44140625" style="4" customWidth="1"/>
    <col min="14343" max="14343" width="21.88671875" style="4" customWidth="1"/>
    <col min="14344" max="14345" width="21.6640625" style="4" customWidth="1"/>
    <col min="14346" max="14346" width="21.5546875" style="4" bestFit="1" customWidth="1"/>
    <col min="14347" max="14347" width="22.109375" style="4" bestFit="1" customWidth="1"/>
    <col min="14348" max="14348" width="22.6640625" style="4" bestFit="1" customWidth="1"/>
    <col min="14349" max="14349" width="22.109375" style="4" bestFit="1" customWidth="1"/>
    <col min="14350" max="14350" width="22.6640625" style="4" bestFit="1" customWidth="1"/>
    <col min="14351" max="14351" width="21" style="4" bestFit="1" customWidth="1"/>
    <col min="14352" max="14352" width="28.44140625" style="4" customWidth="1"/>
    <col min="14353" max="14353" width="21" style="4" bestFit="1" customWidth="1"/>
    <col min="14354" max="14354" width="24.109375" style="4" bestFit="1" customWidth="1"/>
    <col min="14355" max="14355" width="21.5546875" style="4" customWidth="1"/>
    <col min="14356" max="14356" width="21.33203125" style="4" customWidth="1"/>
    <col min="14357" max="14357" width="21.5546875" style="4" bestFit="1" customWidth="1"/>
    <col min="14358" max="14358" width="22.6640625" style="4" bestFit="1" customWidth="1"/>
    <col min="14359" max="14362" width="21" style="4" bestFit="1" customWidth="1"/>
    <col min="14363" max="14363" width="22.109375" style="4" bestFit="1" customWidth="1"/>
    <col min="14364" max="14364" width="25.5546875" style="4" bestFit="1" customWidth="1"/>
    <col min="14365" max="14365" width="27.33203125" style="4" customWidth="1"/>
    <col min="14366" max="14366" width="26" style="4" customWidth="1"/>
    <col min="14367" max="14367" width="26.88671875" style="4" customWidth="1"/>
    <col min="14368" max="14368" width="32.44140625" style="4" bestFit="1" customWidth="1"/>
    <col min="14369" max="14588" width="11.44140625" style="4"/>
    <col min="14589" max="14589" width="29.6640625" style="4" customWidth="1"/>
    <col min="14590" max="14590" width="6.5546875" style="4" customWidth="1"/>
    <col min="14591" max="14591" width="37" style="4" customWidth="1"/>
    <col min="14592" max="14592" width="8.88671875" style="4" customWidth="1"/>
    <col min="14593" max="14593" width="52.109375" style="4" customWidth="1"/>
    <col min="14594" max="14594" width="13.44140625" style="4" customWidth="1"/>
    <col min="14595" max="14595" width="22" style="4" bestFit="1" customWidth="1"/>
    <col min="14596" max="14596" width="24.44140625" style="4" bestFit="1" customWidth="1"/>
    <col min="14597" max="14597" width="26.33203125" style="4" customWidth="1"/>
    <col min="14598" max="14598" width="23.44140625" style="4" customWidth="1"/>
    <col min="14599" max="14599" width="21.88671875" style="4" customWidth="1"/>
    <col min="14600" max="14601" width="21.6640625" style="4" customWidth="1"/>
    <col min="14602" max="14602" width="21.5546875" style="4" bestFit="1" customWidth="1"/>
    <col min="14603" max="14603" width="22.109375" style="4" bestFit="1" customWidth="1"/>
    <col min="14604" max="14604" width="22.6640625" style="4" bestFit="1" customWidth="1"/>
    <col min="14605" max="14605" width="22.109375" style="4" bestFit="1" customWidth="1"/>
    <col min="14606" max="14606" width="22.6640625" style="4" bestFit="1" customWidth="1"/>
    <col min="14607" max="14607" width="21" style="4" bestFit="1" customWidth="1"/>
    <col min="14608" max="14608" width="28.44140625" style="4" customWidth="1"/>
    <col min="14609" max="14609" width="21" style="4" bestFit="1" customWidth="1"/>
    <col min="14610" max="14610" width="24.109375" style="4" bestFit="1" customWidth="1"/>
    <col min="14611" max="14611" width="21.5546875" style="4" customWidth="1"/>
    <col min="14612" max="14612" width="21.33203125" style="4" customWidth="1"/>
    <col min="14613" max="14613" width="21.5546875" style="4" bestFit="1" customWidth="1"/>
    <col min="14614" max="14614" width="22.6640625" style="4" bestFit="1" customWidth="1"/>
    <col min="14615" max="14618" width="21" style="4" bestFit="1" customWidth="1"/>
    <col min="14619" max="14619" width="22.109375" style="4" bestFit="1" customWidth="1"/>
    <col min="14620" max="14620" width="25.5546875" style="4" bestFit="1" customWidth="1"/>
    <col min="14621" max="14621" width="27.33203125" style="4" customWidth="1"/>
    <col min="14622" max="14622" width="26" style="4" customWidth="1"/>
    <col min="14623" max="14623" width="26.88671875" style="4" customWidth="1"/>
    <col min="14624" max="14624" width="32.44140625" style="4" bestFit="1" customWidth="1"/>
    <col min="14625" max="14844" width="11.44140625" style="4"/>
    <col min="14845" max="14845" width="29.6640625" style="4" customWidth="1"/>
    <col min="14846" max="14846" width="6.5546875" style="4" customWidth="1"/>
    <col min="14847" max="14847" width="37" style="4" customWidth="1"/>
    <col min="14848" max="14848" width="8.88671875" style="4" customWidth="1"/>
    <col min="14849" max="14849" width="52.109375" style="4" customWidth="1"/>
    <col min="14850" max="14850" width="13.44140625" style="4" customWidth="1"/>
    <col min="14851" max="14851" width="22" style="4" bestFit="1" customWidth="1"/>
    <col min="14852" max="14852" width="24.44140625" style="4" bestFit="1" customWidth="1"/>
    <col min="14853" max="14853" width="26.33203125" style="4" customWidth="1"/>
    <col min="14854" max="14854" width="23.44140625" style="4" customWidth="1"/>
    <col min="14855" max="14855" width="21.88671875" style="4" customWidth="1"/>
    <col min="14856" max="14857" width="21.6640625" style="4" customWidth="1"/>
    <col min="14858" max="14858" width="21.5546875" style="4" bestFit="1" customWidth="1"/>
    <col min="14859" max="14859" width="22.109375" style="4" bestFit="1" customWidth="1"/>
    <col min="14860" max="14860" width="22.6640625" style="4" bestFit="1" customWidth="1"/>
    <col min="14861" max="14861" width="22.109375" style="4" bestFit="1" customWidth="1"/>
    <col min="14862" max="14862" width="22.6640625" style="4" bestFit="1" customWidth="1"/>
    <col min="14863" max="14863" width="21" style="4" bestFit="1" customWidth="1"/>
    <col min="14864" max="14864" width="28.44140625" style="4" customWidth="1"/>
    <col min="14865" max="14865" width="21" style="4" bestFit="1" customWidth="1"/>
    <col min="14866" max="14866" width="24.109375" style="4" bestFit="1" customWidth="1"/>
    <col min="14867" max="14867" width="21.5546875" style="4" customWidth="1"/>
    <col min="14868" max="14868" width="21.33203125" style="4" customWidth="1"/>
    <col min="14869" max="14869" width="21.5546875" style="4" bestFit="1" customWidth="1"/>
    <col min="14870" max="14870" width="22.6640625" style="4" bestFit="1" customWidth="1"/>
    <col min="14871" max="14874" width="21" style="4" bestFit="1" customWidth="1"/>
    <col min="14875" max="14875" width="22.109375" style="4" bestFit="1" customWidth="1"/>
    <col min="14876" max="14876" width="25.5546875" style="4" bestFit="1" customWidth="1"/>
    <col min="14877" max="14877" width="27.33203125" style="4" customWidth="1"/>
    <col min="14878" max="14878" width="26" style="4" customWidth="1"/>
    <col min="14879" max="14879" width="26.88671875" style="4" customWidth="1"/>
    <col min="14880" max="14880" width="32.44140625" style="4" bestFit="1" customWidth="1"/>
    <col min="14881" max="15100" width="11.44140625" style="4"/>
    <col min="15101" max="15101" width="29.6640625" style="4" customWidth="1"/>
    <col min="15102" max="15102" width="6.5546875" style="4" customWidth="1"/>
    <col min="15103" max="15103" width="37" style="4" customWidth="1"/>
    <col min="15104" max="15104" width="8.88671875" style="4" customWidth="1"/>
    <col min="15105" max="15105" width="52.109375" style="4" customWidth="1"/>
    <col min="15106" max="15106" width="13.44140625" style="4" customWidth="1"/>
    <col min="15107" max="15107" width="22" style="4" bestFit="1" customWidth="1"/>
    <col min="15108" max="15108" width="24.44140625" style="4" bestFit="1" customWidth="1"/>
    <col min="15109" max="15109" width="26.33203125" style="4" customWidth="1"/>
    <col min="15110" max="15110" width="23.44140625" style="4" customWidth="1"/>
    <col min="15111" max="15111" width="21.88671875" style="4" customWidth="1"/>
    <col min="15112" max="15113" width="21.6640625" style="4" customWidth="1"/>
    <col min="15114" max="15114" width="21.5546875" style="4" bestFit="1" customWidth="1"/>
    <col min="15115" max="15115" width="22.109375" style="4" bestFit="1" customWidth="1"/>
    <col min="15116" max="15116" width="22.6640625" style="4" bestFit="1" customWidth="1"/>
    <col min="15117" max="15117" width="22.109375" style="4" bestFit="1" customWidth="1"/>
    <col min="15118" max="15118" width="22.6640625" style="4" bestFit="1" customWidth="1"/>
    <col min="15119" max="15119" width="21" style="4" bestFit="1" customWidth="1"/>
    <col min="15120" max="15120" width="28.44140625" style="4" customWidth="1"/>
    <col min="15121" max="15121" width="21" style="4" bestFit="1" customWidth="1"/>
    <col min="15122" max="15122" width="24.109375" style="4" bestFit="1" customWidth="1"/>
    <col min="15123" max="15123" width="21.5546875" style="4" customWidth="1"/>
    <col min="15124" max="15124" width="21.33203125" style="4" customWidth="1"/>
    <col min="15125" max="15125" width="21.5546875" style="4" bestFit="1" customWidth="1"/>
    <col min="15126" max="15126" width="22.6640625" style="4" bestFit="1" customWidth="1"/>
    <col min="15127" max="15130" width="21" style="4" bestFit="1" customWidth="1"/>
    <col min="15131" max="15131" width="22.109375" style="4" bestFit="1" customWidth="1"/>
    <col min="15132" max="15132" width="25.5546875" style="4" bestFit="1" customWidth="1"/>
    <col min="15133" max="15133" width="27.33203125" style="4" customWidth="1"/>
    <col min="15134" max="15134" width="26" style="4" customWidth="1"/>
    <col min="15135" max="15135" width="26.88671875" style="4" customWidth="1"/>
    <col min="15136" max="15136" width="32.44140625" style="4" bestFit="1" customWidth="1"/>
    <col min="15137" max="15356" width="11.44140625" style="4"/>
    <col min="15357" max="15357" width="29.6640625" style="4" customWidth="1"/>
    <col min="15358" max="15358" width="6.5546875" style="4" customWidth="1"/>
    <col min="15359" max="15359" width="37" style="4" customWidth="1"/>
    <col min="15360" max="15360" width="8.88671875" style="4" customWidth="1"/>
    <col min="15361" max="15361" width="52.109375" style="4" customWidth="1"/>
    <col min="15362" max="15362" width="13.44140625" style="4" customWidth="1"/>
    <col min="15363" max="15363" width="22" style="4" bestFit="1" customWidth="1"/>
    <col min="15364" max="15364" width="24.44140625" style="4" bestFit="1" customWidth="1"/>
    <col min="15365" max="15365" width="26.33203125" style="4" customWidth="1"/>
    <col min="15366" max="15366" width="23.44140625" style="4" customWidth="1"/>
    <col min="15367" max="15367" width="21.88671875" style="4" customWidth="1"/>
    <col min="15368" max="15369" width="21.6640625" style="4" customWidth="1"/>
    <col min="15370" max="15370" width="21.5546875" style="4" bestFit="1" customWidth="1"/>
    <col min="15371" max="15371" width="22.109375" style="4" bestFit="1" customWidth="1"/>
    <col min="15372" max="15372" width="22.6640625" style="4" bestFit="1" customWidth="1"/>
    <col min="15373" max="15373" width="22.109375" style="4" bestFit="1" customWidth="1"/>
    <col min="15374" max="15374" width="22.6640625" style="4" bestFit="1" customWidth="1"/>
    <col min="15375" max="15375" width="21" style="4" bestFit="1" customWidth="1"/>
    <col min="15376" max="15376" width="28.44140625" style="4" customWidth="1"/>
    <col min="15377" max="15377" width="21" style="4" bestFit="1" customWidth="1"/>
    <col min="15378" max="15378" width="24.109375" style="4" bestFit="1" customWidth="1"/>
    <col min="15379" max="15379" width="21.5546875" style="4" customWidth="1"/>
    <col min="15380" max="15380" width="21.33203125" style="4" customWidth="1"/>
    <col min="15381" max="15381" width="21.5546875" style="4" bestFit="1" customWidth="1"/>
    <col min="15382" max="15382" width="22.6640625" style="4" bestFit="1" customWidth="1"/>
    <col min="15383" max="15386" width="21" style="4" bestFit="1" customWidth="1"/>
    <col min="15387" max="15387" width="22.109375" style="4" bestFit="1" customWidth="1"/>
    <col min="15388" max="15388" width="25.5546875" style="4" bestFit="1" customWidth="1"/>
    <col min="15389" max="15389" width="27.33203125" style="4" customWidth="1"/>
    <col min="15390" max="15390" width="26" style="4" customWidth="1"/>
    <col min="15391" max="15391" width="26.88671875" style="4" customWidth="1"/>
    <col min="15392" max="15392" width="32.44140625" style="4" bestFit="1" customWidth="1"/>
    <col min="15393" max="15612" width="11.44140625" style="4"/>
    <col min="15613" max="15613" width="29.6640625" style="4" customWidth="1"/>
    <col min="15614" max="15614" width="6.5546875" style="4" customWidth="1"/>
    <col min="15615" max="15615" width="37" style="4" customWidth="1"/>
    <col min="15616" max="15616" width="8.88671875" style="4" customWidth="1"/>
    <col min="15617" max="15617" width="52.109375" style="4" customWidth="1"/>
    <col min="15618" max="15618" width="13.44140625" style="4" customWidth="1"/>
    <col min="15619" max="15619" width="22" style="4" bestFit="1" customWidth="1"/>
    <col min="15620" max="15620" width="24.44140625" style="4" bestFit="1" customWidth="1"/>
    <col min="15621" max="15621" width="26.33203125" style="4" customWidth="1"/>
    <col min="15622" max="15622" width="23.44140625" style="4" customWidth="1"/>
    <col min="15623" max="15623" width="21.88671875" style="4" customWidth="1"/>
    <col min="15624" max="15625" width="21.6640625" style="4" customWidth="1"/>
    <col min="15626" max="15626" width="21.5546875" style="4" bestFit="1" customWidth="1"/>
    <col min="15627" max="15627" width="22.109375" style="4" bestFit="1" customWidth="1"/>
    <col min="15628" max="15628" width="22.6640625" style="4" bestFit="1" customWidth="1"/>
    <col min="15629" max="15629" width="22.109375" style="4" bestFit="1" customWidth="1"/>
    <col min="15630" max="15630" width="22.6640625" style="4" bestFit="1" customWidth="1"/>
    <col min="15631" max="15631" width="21" style="4" bestFit="1" customWidth="1"/>
    <col min="15632" max="15632" width="28.44140625" style="4" customWidth="1"/>
    <col min="15633" max="15633" width="21" style="4" bestFit="1" customWidth="1"/>
    <col min="15634" max="15634" width="24.109375" style="4" bestFit="1" customWidth="1"/>
    <col min="15635" max="15635" width="21.5546875" style="4" customWidth="1"/>
    <col min="15636" max="15636" width="21.33203125" style="4" customWidth="1"/>
    <col min="15637" max="15637" width="21.5546875" style="4" bestFit="1" customWidth="1"/>
    <col min="15638" max="15638" width="22.6640625" style="4" bestFit="1" customWidth="1"/>
    <col min="15639" max="15642" width="21" style="4" bestFit="1" customWidth="1"/>
    <col min="15643" max="15643" width="22.109375" style="4" bestFit="1" customWidth="1"/>
    <col min="15644" max="15644" width="25.5546875" style="4" bestFit="1" customWidth="1"/>
    <col min="15645" max="15645" width="27.33203125" style="4" customWidth="1"/>
    <col min="15646" max="15646" width="26" style="4" customWidth="1"/>
    <col min="15647" max="15647" width="26.88671875" style="4" customWidth="1"/>
    <col min="15648" max="15648" width="32.44140625" style="4" bestFit="1" customWidth="1"/>
    <col min="15649" max="15868" width="11.44140625" style="4"/>
    <col min="15869" max="15869" width="29.6640625" style="4" customWidth="1"/>
    <col min="15870" max="15870" width="6.5546875" style="4" customWidth="1"/>
    <col min="15871" max="15871" width="37" style="4" customWidth="1"/>
    <col min="15872" max="15872" width="8.88671875" style="4" customWidth="1"/>
    <col min="15873" max="15873" width="52.109375" style="4" customWidth="1"/>
    <col min="15874" max="15874" width="13.44140625" style="4" customWidth="1"/>
    <col min="15875" max="15875" width="22" style="4" bestFit="1" customWidth="1"/>
    <col min="15876" max="15876" width="24.44140625" style="4" bestFit="1" customWidth="1"/>
    <col min="15877" max="15877" width="26.33203125" style="4" customWidth="1"/>
    <col min="15878" max="15878" width="23.44140625" style="4" customWidth="1"/>
    <col min="15879" max="15879" width="21.88671875" style="4" customWidth="1"/>
    <col min="15880" max="15881" width="21.6640625" style="4" customWidth="1"/>
    <col min="15882" max="15882" width="21.5546875" style="4" bestFit="1" customWidth="1"/>
    <col min="15883" max="15883" width="22.109375" style="4" bestFit="1" customWidth="1"/>
    <col min="15884" max="15884" width="22.6640625" style="4" bestFit="1" customWidth="1"/>
    <col min="15885" max="15885" width="22.109375" style="4" bestFit="1" customWidth="1"/>
    <col min="15886" max="15886" width="22.6640625" style="4" bestFit="1" customWidth="1"/>
    <col min="15887" max="15887" width="21" style="4" bestFit="1" customWidth="1"/>
    <col min="15888" max="15888" width="28.44140625" style="4" customWidth="1"/>
    <col min="15889" max="15889" width="21" style="4" bestFit="1" customWidth="1"/>
    <col min="15890" max="15890" width="24.109375" style="4" bestFit="1" customWidth="1"/>
    <col min="15891" max="15891" width="21.5546875" style="4" customWidth="1"/>
    <col min="15892" max="15892" width="21.33203125" style="4" customWidth="1"/>
    <col min="15893" max="15893" width="21.5546875" style="4" bestFit="1" customWidth="1"/>
    <col min="15894" max="15894" width="22.6640625" style="4" bestFit="1" customWidth="1"/>
    <col min="15895" max="15898" width="21" style="4" bestFit="1" customWidth="1"/>
    <col min="15899" max="15899" width="22.109375" style="4" bestFit="1" customWidth="1"/>
    <col min="15900" max="15900" width="25.5546875" style="4" bestFit="1" customWidth="1"/>
    <col min="15901" max="15901" width="27.33203125" style="4" customWidth="1"/>
    <col min="15902" max="15902" width="26" style="4" customWidth="1"/>
    <col min="15903" max="15903" width="26.88671875" style="4" customWidth="1"/>
    <col min="15904" max="15904" width="32.44140625" style="4" bestFit="1" customWidth="1"/>
    <col min="15905" max="16124" width="11.44140625" style="4"/>
    <col min="16125" max="16125" width="29.6640625" style="4" customWidth="1"/>
    <col min="16126" max="16126" width="6.5546875" style="4" customWidth="1"/>
    <col min="16127" max="16127" width="37" style="4" customWidth="1"/>
    <col min="16128" max="16128" width="8.88671875" style="4" customWidth="1"/>
    <col min="16129" max="16129" width="52.109375" style="4" customWidth="1"/>
    <col min="16130" max="16130" width="13.44140625" style="4" customWidth="1"/>
    <col min="16131" max="16131" width="22" style="4" bestFit="1" customWidth="1"/>
    <col min="16132" max="16132" width="24.44140625" style="4" bestFit="1" customWidth="1"/>
    <col min="16133" max="16133" width="26.33203125" style="4" customWidth="1"/>
    <col min="16134" max="16134" width="23.44140625" style="4" customWidth="1"/>
    <col min="16135" max="16135" width="21.88671875" style="4" customWidth="1"/>
    <col min="16136" max="16137" width="21.6640625" style="4" customWidth="1"/>
    <col min="16138" max="16138" width="21.5546875" style="4" bestFit="1" customWidth="1"/>
    <col min="16139" max="16139" width="22.109375" style="4" bestFit="1" customWidth="1"/>
    <col min="16140" max="16140" width="22.6640625" style="4" bestFit="1" customWidth="1"/>
    <col min="16141" max="16141" width="22.109375" style="4" bestFit="1" customWidth="1"/>
    <col min="16142" max="16142" width="22.6640625" style="4" bestFit="1" customWidth="1"/>
    <col min="16143" max="16143" width="21" style="4" bestFit="1" customWidth="1"/>
    <col min="16144" max="16144" width="28.44140625" style="4" customWidth="1"/>
    <col min="16145" max="16145" width="21" style="4" bestFit="1" customWidth="1"/>
    <col min="16146" max="16146" width="24.109375" style="4" bestFit="1" customWidth="1"/>
    <col min="16147" max="16147" width="21.5546875" style="4" customWidth="1"/>
    <col min="16148" max="16148" width="21.33203125" style="4" customWidth="1"/>
    <col min="16149" max="16149" width="21.5546875" style="4" bestFit="1" customWidth="1"/>
    <col min="16150" max="16150" width="22.6640625" style="4" bestFit="1" customWidth="1"/>
    <col min="16151" max="16154" width="21" style="4" bestFit="1" customWidth="1"/>
    <col min="16155" max="16155" width="22.109375" style="4" bestFit="1" customWidth="1"/>
    <col min="16156" max="16156" width="25.5546875" style="4" bestFit="1" customWidth="1"/>
    <col min="16157" max="16157" width="27.33203125" style="4" customWidth="1"/>
    <col min="16158" max="16158" width="26" style="4" customWidth="1"/>
    <col min="16159" max="16159" width="26.88671875" style="4" customWidth="1"/>
    <col min="16160" max="16160" width="32.44140625" style="4" bestFit="1" customWidth="1"/>
    <col min="16161" max="16384" width="11.44140625" style="4"/>
  </cols>
  <sheetData>
    <row r="1" spans="1:32" ht="10.5" customHeight="1" x14ac:dyDescent="0.25">
      <c r="A1" s="32"/>
      <c r="B1" s="138"/>
      <c r="C1" s="139"/>
      <c r="D1" s="32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140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140"/>
      <c r="AF1" s="10"/>
    </row>
    <row r="2" spans="1:32" ht="29.25" customHeight="1" x14ac:dyDescent="0.3">
      <c r="A2" s="141" t="s">
        <v>46</v>
      </c>
      <c r="B2" s="34"/>
      <c r="C2" s="35"/>
      <c r="D2" s="32"/>
      <c r="E2" s="9"/>
      <c r="F2" s="9"/>
      <c r="G2" s="9"/>
      <c r="H2" s="552"/>
      <c r="I2" s="553"/>
      <c r="J2" s="554"/>
      <c r="K2" s="9"/>
      <c r="L2" s="9"/>
      <c r="M2" s="9"/>
      <c r="N2" s="9"/>
      <c r="O2" s="9"/>
      <c r="P2" s="9"/>
      <c r="Q2" s="9"/>
      <c r="R2" s="9"/>
      <c r="S2" s="140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140"/>
      <c r="AF2" s="10"/>
    </row>
    <row r="3" spans="1:32" ht="32.25" customHeight="1" x14ac:dyDescent="0.25">
      <c r="A3" s="141" t="s">
        <v>47</v>
      </c>
      <c r="B3" s="34"/>
      <c r="C3" s="35"/>
      <c r="D3" s="32"/>
      <c r="E3" s="17"/>
      <c r="F3" s="9"/>
      <c r="G3" s="289">
        <v>8795355.7200000007</v>
      </c>
      <c r="H3" s="547">
        <f>+H65+H69+H73+H77+H85+H91+H94</f>
        <v>19067.059999999998</v>
      </c>
      <c r="I3" s="547">
        <f t="shared" ref="I3:N3" si="0">+I65+I69+I73+I77+I85+I91+I94</f>
        <v>48255.89</v>
      </c>
      <c r="J3" s="547">
        <f t="shared" si="0"/>
        <v>141914.6</v>
      </c>
      <c r="K3" s="547">
        <f t="shared" si="0"/>
        <v>70474</v>
      </c>
      <c r="L3" s="547">
        <f t="shared" si="0"/>
        <v>24474</v>
      </c>
      <c r="M3" s="547">
        <f t="shared" si="0"/>
        <v>51474</v>
      </c>
      <c r="N3" s="547">
        <f t="shared" si="0"/>
        <v>29774</v>
      </c>
      <c r="O3" s="9"/>
      <c r="P3" s="9"/>
      <c r="Q3" s="9"/>
      <c r="R3" s="9"/>
      <c r="S3" s="140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140"/>
      <c r="AF3" s="10"/>
    </row>
    <row r="4" spans="1:32" ht="6" customHeight="1" x14ac:dyDescent="0.25">
      <c r="A4" s="141"/>
      <c r="B4" s="34"/>
      <c r="C4" s="35"/>
      <c r="D4" s="32"/>
      <c r="E4" s="9"/>
      <c r="F4" s="9"/>
      <c r="G4" s="9"/>
      <c r="H4" s="14"/>
      <c r="I4" s="15"/>
      <c r="J4" s="16"/>
      <c r="K4" s="9"/>
      <c r="L4" s="9"/>
      <c r="M4" s="9"/>
      <c r="N4" s="9"/>
      <c r="O4" s="9"/>
      <c r="P4" s="9"/>
      <c r="Q4" s="9"/>
      <c r="R4" s="9"/>
      <c r="S4" s="140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140"/>
      <c r="AF4" s="10"/>
    </row>
    <row r="5" spans="1:32" s="59" customFormat="1" ht="38.25" customHeight="1" x14ac:dyDescent="0.3">
      <c r="A5" s="36" t="s">
        <v>48</v>
      </c>
      <c r="B5" s="36"/>
      <c r="C5" s="36"/>
      <c r="D5" s="36"/>
      <c r="E5" s="1161" t="s">
        <v>43</v>
      </c>
      <c r="F5" s="1161" t="s">
        <v>44</v>
      </c>
      <c r="G5" s="1174" t="s">
        <v>121</v>
      </c>
      <c r="H5" s="1169"/>
      <c r="I5" s="1169"/>
      <c r="J5" s="1169"/>
      <c r="K5" s="1111"/>
      <c r="L5" s="1111"/>
      <c r="M5" s="1111"/>
      <c r="N5" s="1111"/>
      <c r="O5" s="1111"/>
      <c r="P5" s="1111"/>
      <c r="Q5" s="1111"/>
      <c r="R5" s="1170"/>
      <c r="S5" s="1171" t="s">
        <v>41</v>
      </c>
      <c r="T5" s="1173">
        <v>2022</v>
      </c>
      <c r="U5" s="1111"/>
      <c r="V5" s="1111"/>
      <c r="W5" s="1111"/>
      <c r="X5" s="1111"/>
      <c r="Y5" s="1111"/>
      <c r="Z5" s="1111"/>
      <c r="AA5" s="1111"/>
      <c r="AB5" s="1111"/>
      <c r="AC5" s="1111"/>
      <c r="AD5" s="1111"/>
      <c r="AE5" s="1101" t="s">
        <v>42</v>
      </c>
      <c r="AF5" s="1160" t="s">
        <v>45</v>
      </c>
    </row>
    <row r="6" spans="1:32" s="146" customFormat="1" ht="38.25" customHeight="1" x14ac:dyDescent="0.3">
      <c r="A6" s="142" t="s">
        <v>49</v>
      </c>
      <c r="B6" s="143" t="s">
        <v>50</v>
      </c>
      <c r="C6" s="144" t="s">
        <v>51</v>
      </c>
      <c r="D6" s="145" t="s">
        <v>122</v>
      </c>
      <c r="E6" s="1161"/>
      <c r="F6" s="1161"/>
      <c r="G6" s="1174"/>
      <c r="H6" s="18">
        <v>44228</v>
      </c>
      <c r="I6" s="18">
        <v>44256</v>
      </c>
      <c r="J6" s="18">
        <v>44287</v>
      </c>
      <c r="K6" s="18">
        <v>44317</v>
      </c>
      <c r="L6" s="18">
        <v>44348</v>
      </c>
      <c r="M6" s="18">
        <v>44378</v>
      </c>
      <c r="N6" s="18">
        <v>44409</v>
      </c>
      <c r="O6" s="18">
        <v>44440</v>
      </c>
      <c r="P6" s="18">
        <v>44470</v>
      </c>
      <c r="Q6" s="18">
        <v>44501</v>
      </c>
      <c r="R6" s="18">
        <v>44531</v>
      </c>
      <c r="S6" s="1172"/>
      <c r="T6" s="18">
        <v>44562</v>
      </c>
      <c r="U6" s="18">
        <v>44593</v>
      </c>
      <c r="V6" s="18">
        <v>44621</v>
      </c>
      <c r="W6" s="18">
        <v>44652</v>
      </c>
      <c r="X6" s="18">
        <v>44682</v>
      </c>
      <c r="Y6" s="18">
        <v>44713</v>
      </c>
      <c r="Z6" s="18">
        <v>44743</v>
      </c>
      <c r="AA6" s="18">
        <v>44774</v>
      </c>
      <c r="AB6" s="18">
        <v>44805</v>
      </c>
      <c r="AC6" s="18">
        <v>44835</v>
      </c>
      <c r="AD6" s="18">
        <v>44866</v>
      </c>
      <c r="AE6" s="1101"/>
      <c r="AF6" s="1160"/>
    </row>
    <row r="7" spans="1:32" s="189" customFormat="1" ht="33.75" customHeight="1" x14ac:dyDescent="0.25">
      <c r="A7" s="186" t="s">
        <v>176</v>
      </c>
      <c r="B7" s="186"/>
      <c r="C7" s="187"/>
      <c r="D7" s="187"/>
      <c r="E7" s="188">
        <f>+E9+E56+E100+E111</f>
        <v>8729796.3200000003</v>
      </c>
      <c r="F7" s="188">
        <f>+F9+F56+F100+F111</f>
        <v>180000</v>
      </c>
      <c r="G7" s="188">
        <f>+E7+F7</f>
        <v>8909796.3200000003</v>
      </c>
      <c r="H7" s="188">
        <f t="shared" ref="H7:AE7" si="1">+H9+H56+H100+H111</f>
        <v>255525.18</v>
      </c>
      <c r="I7" s="188">
        <f t="shared" si="1"/>
        <v>316699.01</v>
      </c>
      <c r="J7" s="188">
        <f t="shared" si="1"/>
        <v>532283.76</v>
      </c>
      <c r="K7" s="188">
        <f t="shared" si="1"/>
        <v>429154</v>
      </c>
      <c r="L7" s="188">
        <f t="shared" si="1"/>
        <v>356215.03</v>
      </c>
      <c r="M7" s="188">
        <f t="shared" si="1"/>
        <v>367017.95333333337</v>
      </c>
      <c r="N7" s="188">
        <f t="shared" si="1"/>
        <v>321272.12</v>
      </c>
      <c r="O7" s="188">
        <f t="shared" si="1"/>
        <v>454589.20999999996</v>
      </c>
      <c r="P7" s="188">
        <f t="shared" si="1"/>
        <v>354272.12</v>
      </c>
      <c r="Q7" s="188">
        <f t="shared" si="1"/>
        <v>505624.17</v>
      </c>
      <c r="R7" s="188">
        <f t="shared" si="1"/>
        <v>480248.36333333328</v>
      </c>
      <c r="S7" s="188">
        <f t="shared" si="1"/>
        <v>4372900.916666667</v>
      </c>
      <c r="T7" s="188">
        <f t="shared" si="1"/>
        <v>304397.12</v>
      </c>
      <c r="U7" s="188">
        <f t="shared" si="1"/>
        <v>451397.12</v>
      </c>
      <c r="V7" s="188">
        <f t="shared" si="1"/>
        <v>414397.12</v>
      </c>
      <c r="W7" s="188">
        <f t="shared" si="1"/>
        <v>334397.12</v>
      </c>
      <c r="X7" s="188">
        <f t="shared" si="1"/>
        <v>393797.12</v>
      </c>
      <c r="Y7" s="188">
        <f t="shared" si="1"/>
        <v>344397.12</v>
      </c>
      <c r="Z7" s="188">
        <f t="shared" si="1"/>
        <v>381272.12</v>
      </c>
      <c r="AA7" s="188">
        <f t="shared" si="1"/>
        <v>368397.12</v>
      </c>
      <c r="AB7" s="188">
        <f t="shared" si="1"/>
        <v>363397.12</v>
      </c>
      <c r="AC7" s="188">
        <f t="shared" si="1"/>
        <v>395397.12</v>
      </c>
      <c r="AD7" s="188">
        <f t="shared" si="1"/>
        <v>785649.20333333313</v>
      </c>
      <c r="AE7" s="188">
        <f t="shared" si="1"/>
        <v>4536895.4033333333</v>
      </c>
      <c r="AF7" s="188"/>
    </row>
    <row r="8" spans="1:32" s="410" customFormat="1" ht="11.25" customHeight="1" x14ac:dyDescent="0.25">
      <c r="A8" s="407"/>
      <c r="B8" s="407"/>
      <c r="C8" s="408"/>
      <c r="D8" s="408"/>
      <c r="E8" s="409"/>
      <c r="F8" s="409"/>
      <c r="G8" s="409"/>
      <c r="H8" s="409"/>
      <c r="I8" s="409"/>
      <c r="J8" s="409"/>
      <c r="K8" s="409"/>
      <c r="L8" s="409"/>
      <c r="M8" s="409"/>
      <c r="N8" s="409"/>
      <c r="O8" s="409"/>
      <c r="P8" s="409"/>
      <c r="Q8" s="409"/>
      <c r="R8" s="409"/>
      <c r="S8" s="409"/>
      <c r="T8" s="409"/>
      <c r="U8" s="409"/>
      <c r="V8" s="409"/>
      <c r="W8" s="409"/>
      <c r="X8" s="409"/>
      <c r="Y8" s="409"/>
      <c r="Z8" s="409"/>
      <c r="AA8" s="409"/>
      <c r="AB8" s="409"/>
      <c r="AC8" s="409"/>
      <c r="AD8" s="409"/>
      <c r="AE8" s="409"/>
      <c r="AF8" s="409"/>
    </row>
    <row r="9" spans="1:32" s="59" customFormat="1" ht="37.5" hidden="1" customHeight="1" x14ac:dyDescent="0.25">
      <c r="A9" s="147" t="s">
        <v>123</v>
      </c>
      <c r="B9" s="148"/>
      <c r="C9" s="149"/>
      <c r="D9" s="150"/>
      <c r="E9" s="151">
        <f t="shared" ref="E9:AE9" si="2">+E11+E50</f>
        <v>3914155.7199999997</v>
      </c>
      <c r="F9" s="151">
        <f t="shared" si="2"/>
        <v>180000</v>
      </c>
      <c r="G9" s="151">
        <f t="shared" si="2"/>
        <v>4094155.7199999997</v>
      </c>
      <c r="H9" s="151">
        <f t="shared" si="2"/>
        <v>133958.12</v>
      </c>
      <c r="I9" s="151">
        <f t="shared" si="2"/>
        <v>141333.12</v>
      </c>
      <c r="J9" s="151">
        <f t="shared" si="2"/>
        <v>217869.16</v>
      </c>
      <c r="K9" s="151">
        <f t="shared" si="2"/>
        <v>199080</v>
      </c>
      <c r="L9" s="151">
        <f t="shared" si="2"/>
        <v>170741.03</v>
      </c>
      <c r="M9" s="151">
        <f t="shared" si="2"/>
        <v>178643.95333333334</v>
      </c>
      <c r="N9" s="151">
        <f t="shared" si="2"/>
        <v>174998.12</v>
      </c>
      <c r="O9" s="151">
        <f t="shared" si="2"/>
        <v>174998.12</v>
      </c>
      <c r="P9" s="151">
        <f t="shared" si="2"/>
        <v>174998.12</v>
      </c>
      <c r="Q9" s="151">
        <f t="shared" si="2"/>
        <v>174998.12</v>
      </c>
      <c r="R9" s="151">
        <f t="shared" si="2"/>
        <v>274431.45333333325</v>
      </c>
      <c r="S9" s="151">
        <f t="shared" si="2"/>
        <v>2016049.3166666667</v>
      </c>
      <c r="T9" s="151">
        <f t="shared" si="2"/>
        <v>174998.12</v>
      </c>
      <c r="U9" s="151">
        <f t="shared" si="2"/>
        <v>174998.12</v>
      </c>
      <c r="V9" s="151">
        <f t="shared" si="2"/>
        <v>174998.12</v>
      </c>
      <c r="W9" s="151">
        <f t="shared" si="2"/>
        <v>174998.12</v>
      </c>
      <c r="X9" s="151">
        <f t="shared" si="2"/>
        <v>174998.12</v>
      </c>
      <c r="Y9" s="151">
        <f t="shared" si="2"/>
        <v>174998.12</v>
      </c>
      <c r="Z9" s="151">
        <f t="shared" si="2"/>
        <v>196873.12</v>
      </c>
      <c r="AA9" s="151">
        <f t="shared" si="2"/>
        <v>174998.12</v>
      </c>
      <c r="AB9" s="151">
        <f t="shared" si="2"/>
        <v>174998.12</v>
      </c>
      <c r="AC9" s="151">
        <f t="shared" si="2"/>
        <v>174998.12</v>
      </c>
      <c r="AD9" s="151">
        <f t="shared" si="2"/>
        <v>306250.20333333319</v>
      </c>
      <c r="AE9" s="151">
        <f t="shared" si="2"/>
        <v>2078106.4033333331</v>
      </c>
      <c r="AF9" s="152"/>
    </row>
    <row r="10" spans="1:32" ht="30.75" hidden="1" customHeight="1" x14ac:dyDescent="0.25">
      <c r="A10" s="1162" t="s">
        <v>124</v>
      </c>
      <c r="B10" s="1163"/>
      <c r="C10" s="1164"/>
      <c r="D10" s="153"/>
      <c r="E10" s="19">
        <f>+T10+G10</f>
        <v>0</v>
      </c>
      <c r="F10" s="19">
        <f>+U10+E10</f>
        <v>0</v>
      </c>
      <c r="G10" s="19">
        <f>+S10+AE10</f>
        <v>0</v>
      </c>
      <c r="H10" s="154"/>
      <c r="I10" s="154"/>
      <c r="J10" s="566"/>
      <c r="K10" s="566"/>
      <c r="L10" s="154"/>
      <c r="M10" s="154"/>
      <c r="N10" s="154"/>
      <c r="O10" s="154"/>
      <c r="P10" s="154"/>
      <c r="Q10" s="154"/>
      <c r="R10" s="154"/>
      <c r="S10" s="65"/>
      <c r="T10" s="154"/>
      <c r="U10" s="154"/>
      <c r="V10" s="154"/>
      <c r="W10" s="154"/>
      <c r="X10" s="154"/>
      <c r="Y10" s="154"/>
      <c r="Z10" s="154"/>
      <c r="AA10" s="154"/>
      <c r="AB10" s="154"/>
      <c r="AC10" s="154"/>
      <c r="AD10" s="154"/>
      <c r="AE10" s="19"/>
      <c r="AF10" s="19"/>
    </row>
    <row r="11" spans="1:32" s="58" customFormat="1" ht="30.75" hidden="1" customHeight="1" x14ac:dyDescent="0.25">
      <c r="A11" s="1165" t="s">
        <v>125</v>
      </c>
      <c r="B11" s="1165"/>
      <c r="C11" s="1165"/>
      <c r="D11" s="155"/>
      <c r="E11" s="20">
        <f>+E12+E35</f>
        <v>3914155.7199999997</v>
      </c>
      <c r="F11" s="20">
        <f>+F12+F35</f>
        <v>0</v>
      </c>
      <c r="G11" s="20">
        <f>+E11+F11</f>
        <v>3914155.7199999997</v>
      </c>
      <c r="H11" s="20">
        <f t="shared" ref="H11:AE11" si="3">+H12+H35</f>
        <v>133958.12</v>
      </c>
      <c r="I11" s="20">
        <f t="shared" si="3"/>
        <v>133958.12</v>
      </c>
      <c r="J11" s="20">
        <f t="shared" si="3"/>
        <v>135244.16</v>
      </c>
      <c r="K11" s="20">
        <f t="shared" si="3"/>
        <v>109080</v>
      </c>
      <c r="L11" s="20">
        <f t="shared" si="3"/>
        <v>170741.03</v>
      </c>
      <c r="M11" s="20">
        <f t="shared" si="3"/>
        <v>178643.95333333334</v>
      </c>
      <c r="N11" s="20">
        <f t="shared" si="3"/>
        <v>174998.12</v>
      </c>
      <c r="O11" s="20">
        <f t="shared" si="3"/>
        <v>174998.12</v>
      </c>
      <c r="P11" s="20">
        <f t="shared" si="3"/>
        <v>174998.12</v>
      </c>
      <c r="Q11" s="20">
        <f t="shared" si="3"/>
        <v>174998.12</v>
      </c>
      <c r="R11" s="20">
        <f t="shared" si="3"/>
        <v>274431.45333333325</v>
      </c>
      <c r="S11" s="20">
        <f t="shared" si="3"/>
        <v>1836049.3166666667</v>
      </c>
      <c r="T11" s="20">
        <f t="shared" si="3"/>
        <v>174998.12</v>
      </c>
      <c r="U11" s="20">
        <f t="shared" si="3"/>
        <v>174998.12</v>
      </c>
      <c r="V11" s="20">
        <f t="shared" si="3"/>
        <v>174998.12</v>
      </c>
      <c r="W11" s="20">
        <f t="shared" si="3"/>
        <v>174998.12</v>
      </c>
      <c r="X11" s="20">
        <f t="shared" si="3"/>
        <v>174998.12</v>
      </c>
      <c r="Y11" s="20">
        <f t="shared" si="3"/>
        <v>174998.12</v>
      </c>
      <c r="Z11" s="20">
        <f t="shared" si="3"/>
        <v>196873.12</v>
      </c>
      <c r="AA11" s="20">
        <f t="shared" si="3"/>
        <v>174998.12</v>
      </c>
      <c r="AB11" s="20">
        <f t="shared" si="3"/>
        <v>174998.12</v>
      </c>
      <c r="AC11" s="20">
        <f t="shared" si="3"/>
        <v>174998.12</v>
      </c>
      <c r="AD11" s="20">
        <f t="shared" si="3"/>
        <v>306250.20333333319</v>
      </c>
      <c r="AE11" s="20">
        <f t="shared" si="3"/>
        <v>2078106.4033333331</v>
      </c>
      <c r="AF11" s="20"/>
    </row>
    <row r="12" spans="1:32" s="58" customFormat="1" ht="30.75" hidden="1" customHeight="1" x14ac:dyDescent="0.25">
      <c r="A12" s="1176" t="s">
        <v>126</v>
      </c>
      <c r="B12" s="156"/>
      <c r="C12" s="156"/>
      <c r="D12" s="156"/>
      <c r="E12" s="21">
        <f>+E13+E23+E33</f>
        <v>1504515.7199999995</v>
      </c>
      <c r="F12" s="21">
        <f>+F13+F23+F33</f>
        <v>0</v>
      </c>
      <c r="G12" s="21">
        <f t="shared" ref="G12:AE12" si="4">+G13+G23+G33</f>
        <v>1504515.7199999995</v>
      </c>
      <c r="H12" s="21">
        <f t="shared" si="4"/>
        <v>48918.12</v>
      </c>
      <c r="I12" s="21">
        <f t="shared" si="4"/>
        <v>48918.12</v>
      </c>
      <c r="J12" s="21">
        <f t="shared" si="4"/>
        <v>40204.160000000003</v>
      </c>
      <c r="K12" s="21">
        <f t="shared" si="4"/>
        <v>0</v>
      </c>
      <c r="L12" s="21">
        <f t="shared" si="4"/>
        <v>57661.03</v>
      </c>
      <c r="M12" s="21">
        <f t="shared" si="4"/>
        <v>65563.953333333338</v>
      </c>
      <c r="N12" s="21">
        <f t="shared" si="4"/>
        <v>61918.12</v>
      </c>
      <c r="O12" s="21">
        <f t="shared" si="4"/>
        <v>61918.12</v>
      </c>
      <c r="P12" s="21">
        <f t="shared" si="4"/>
        <v>61918.12</v>
      </c>
      <c r="Q12" s="21">
        <f t="shared" si="4"/>
        <v>61918.12</v>
      </c>
      <c r="R12" s="21">
        <f t="shared" si="4"/>
        <v>161351.45333333328</v>
      </c>
      <c r="S12" s="21">
        <f t="shared" si="4"/>
        <v>670289.31666666665</v>
      </c>
      <c r="T12" s="21">
        <f t="shared" si="4"/>
        <v>61918.12</v>
      </c>
      <c r="U12" s="21">
        <f t="shared" si="4"/>
        <v>61918.12</v>
      </c>
      <c r="V12" s="21">
        <f t="shared" si="4"/>
        <v>61918.12</v>
      </c>
      <c r="W12" s="21">
        <f t="shared" si="4"/>
        <v>61918.12</v>
      </c>
      <c r="X12" s="21">
        <f t="shared" si="4"/>
        <v>61918.12</v>
      </c>
      <c r="Y12" s="21">
        <f t="shared" si="4"/>
        <v>61918.12</v>
      </c>
      <c r="Z12" s="21">
        <f t="shared" si="4"/>
        <v>83793.119999999981</v>
      </c>
      <c r="AA12" s="21">
        <f t="shared" si="4"/>
        <v>61918.12</v>
      </c>
      <c r="AB12" s="21">
        <f t="shared" si="4"/>
        <v>61918.12</v>
      </c>
      <c r="AC12" s="21">
        <f t="shared" si="4"/>
        <v>61918.12</v>
      </c>
      <c r="AD12" s="21">
        <f t="shared" si="4"/>
        <v>193170.20333333319</v>
      </c>
      <c r="AE12" s="21">
        <f t="shared" si="4"/>
        <v>834226.40333333309</v>
      </c>
      <c r="AF12" s="158"/>
    </row>
    <row r="13" spans="1:32" s="161" customFormat="1" ht="21" hidden="1" customHeight="1" x14ac:dyDescent="0.25">
      <c r="A13" s="1177"/>
      <c r="B13" s="1166" t="s">
        <v>2</v>
      </c>
      <c r="C13" s="1080" t="s">
        <v>127</v>
      </c>
      <c r="D13" s="793"/>
      <c r="E13" s="794">
        <f>SUM(E14:E22)</f>
        <v>742950.19333333289</v>
      </c>
      <c r="F13" s="794">
        <f t="shared" ref="F13:J13" si="5">SUM(F14:F22)</f>
        <v>0</v>
      </c>
      <c r="G13" s="794">
        <f t="shared" si="5"/>
        <v>742950.19333333289</v>
      </c>
      <c r="H13" s="794">
        <f t="shared" si="5"/>
        <v>28332.510000000002</v>
      </c>
      <c r="I13" s="794">
        <f t="shared" si="5"/>
        <v>28332.510000000002</v>
      </c>
      <c r="J13" s="794">
        <f t="shared" si="5"/>
        <v>23310.41</v>
      </c>
      <c r="K13" s="794">
        <f>SUM(K14:K22)</f>
        <v>0</v>
      </c>
      <c r="L13" s="794">
        <f t="shared" ref="L13" si="6">SUM(L14:L22)</f>
        <v>28332.510000000002</v>
      </c>
      <c r="M13" s="794">
        <f t="shared" ref="M13" si="7">SUM(M14:M22)</f>
        <v>30447.093333333331</v>
      </c>
      <c r="N13" s="794">
        <f t="shared" ref="N13" si="8">SUM(N14:N22)</f>
        <v>28332.510000000002</v>
      </c>
      <c r="O13" s="794">
        <f t="shared" ref="O13:P13" si="9">SUM(O14:O22)</f>
        <v>28332.510000000002</v>
      </c>
      <c r="P13" s="794">
        <f t="shared" si="9"/>
        <v>28332.510000000002</v>
      </c>
      <c r="Q13" s="794">
        <f t="shared" ref="Q13" si="10">SUM(Q14:Q22)</f>
        <v>28332.510000000002</v>
      </c>
      <c r="R13" s="794">
        <f t="shared" ref="R13" si="11">SUM(R14:R22)</f>
        <v>85982.509999999951</v>
      </c>
      <c r="S13" s="794">
        <f t="shared" ref="S13" si="12">SUM(S14:S22)</f>
        <v>338067.58333333331</v>
      </c>
      <c r="T13" s="794">
        <f t="shared" ref="T13" si="13">SUM(T14:T22)</f>
        <v>28332.510000000002</v>
      </c>
      <c r="U13" s="794">
        <f t="shared" ref="U13:V13" si="14">SUM(U14:U22)</f>
        <v>28332.510000000002</v>
      </c>
      <c r="V13" s="794">
        <f t="shared" si="14"/>
        <v>28332.510000000002</v>
      </c>
      <c r="W13" s="794">
        <f t="shared" ref="W13" si="15">SUM(W14:W22)</f>
        <v>28332.510000000002</v>
      </c>
      <c r="X13" s="794">
        <f t="shared" ref="X13" si="16">SUM(X14:X22)</f>
        <v>28332.510000000002</v>
      </c>
      <c r="Y13" s="794">
        <f t="shared" ref="Y13" si="17">SUM(Y14:Y22)</f>
        <v>28332.510000000002</v>
      </c>
      <c r="Z13" s="794">
        <f t="shared" ref="Z13:AA13" si="18">SUM(Z14:Z22)</f>
        <v>41020.00999999998</v>
      </c>
      <c r="AA13" s="794">
        <f t="shared" si="18"/>
        <v>28332.510000000002</v>
      </c>
      <c r="AB13" s="794">
        <f t="shared" ref="AB13" si="19">SUM(AB14:AB22)</f>
        <v>28332.510000000002</v>
      </c>
      <c r="AC13" s="794">
        <f t="shared" ref="AC13" si="20">SUM(AC14:AC22)</f>
        <v>28332.510000000002</v>
      </c>
      <c r="AD13" s="794">
        <f t="shared" ref="AD13" si="21">SUM(AD14:AD22)</f>
        <v>108870.00999999986</v>
      </c>
      <c r="AE13" s="794">
        <f t="shared" ref="AE13" si="22">SUM(AE14:AE22)</f>
        <v>404882.60999999981</v>
      </c>
      <c r="AF13" s="53"/>
    </row>
    <row r="14" spans="1:32" ht="30" hidden="1" customHeight="1" x14ac:dyDescent="0.25">
      <c r="A14" s="1177"/>
      <c r="B14" s="1167"/>
      <c r="C14" s="1081"/>
      <c r="D14" s="2" t="s">
        <v>129</v>
      </c>
      <c r="E14" s="23">
        <f>+S14+AE14</f>
        <v>500000</v>
      </c>
      <c r="F14" s="23"/>
      <c r="G14" s="82">
        <f>+E14+F14</f>
        <v>500000</v>
      </c>
      <c r="H14" s="179">
        <v>25000</v>
      </c>
      <c r="I14" s="179">
        <v>25000</v>
      </c>
      <c r="J14" s="162"/>
      <c r="K14" s="174"/>
      <c r="L14" s="162">
        <v>25000</v>
      </c>
      <c r="M14" s="162">
        <v>25000</v>
      </c>
      <c r="N14" s="162">
        <v>25000</v>
      </c>
      <c r="O14" s="162">
        <v>25000</v>
      </c>
      <c r="P14" s="162">
        <v>25000</v>
      </c>
      <c r="Q14" s="162">
        <v>25000</v>
      </c>
      <c r="R14" s="162">
        <v>25000</v>
      </c>
      <c r="S14" s="22">
        <f t="shared" ref="S14:S22" si="23">SUM(H14:R14)</f>
        <v>225000</v>
      </c>
      <c r="T14" s="162">
        <v>25000</v>
      </c>
      <c r="U14" s="162">
        <v>25000</v>
      </c>
      <c r="V14" s="162">
        <v>25000</v>
      </c>
      <c r="W14" s="162">
        <v>25000</v>
      </c>
      <c r="X14" s="162">
        <v>25000</v>
      </c>
      <c r="Y14" s="162">
        <v>25000</v>
      </c>
      <c r="Z14" s="162">
        <v>25000</v>
      </c>
      <c r="AA14" s="162">
        <v>25000</v>
      </c>
      <c r="AB14" s="162">
        <v>25000</v>
      </c>
      <c r="AC14" s="162">
        <v>25000</v>
      </c>
      <c r="AD14" s="162">
        <v>25000</v>
      </c>
      <c r="AE14" s="163">
        <f>SUM(T14:AD14)</f>
        <v>275000</v>
      </c>
      <c r="AF14" s="24" t="s">
        <v>130</v>
      </c>
    </row>
    <row r="15" spans="1:32" ht="30" hidden="1" x14ac:dyDescent="0.25">
      <c r="A15" s="1177"/>
      <c r="B15" s="1167"/>
      <c r="C15" s="1081"/>
      <c r="D15" s="2" t="s">
        <v>132</v>
      </c>
      <c r="E15" s="23">
        <f t="shared" ref="E15:E22" si="24">+S15+AE15</f>
        <v>7500</v>
      </c>
      <c r="F15" s="23"/>
      <c r="G15" s="82">
        <f t="shared" ref="G15:G22" si="25">+E15+F15</f>
        <v>7500</v>
      </c>
      <c r="H15" s="179">
        <v>375</v>
      </c>
      <c r="I15" s="179">
        <v>375</v>
      </c>
      <c r="J15" s="162"/>
      <c r="K15" s="174"/>
      <c r="L15" s="162">
        <v>375</v>
      </c>
      <c r="M15" s="162">
        <v>375</v>
      </c>
      <c r="N15" s="162">
        <v>375</v>
      </c>
      <c r="O15" s="162">
        <v>375</v>
      </c>
      <c r="P15" s="162">
        <v>375</v>
      </c>
      <c r="Q15" s="162">
        <v>375</v>
      </c>
      <c r="R15" s="162">
        <v>375</v>
      </c>
      <c r="S15" s="22">
        <f t="shared" si="23"/>
        <v>3375</v>
      </c>
      <c r="T15" s="162">
        <v>375</v>
      </c>
      <c r="U15" s="162">
        <v>375</v>
      </c>
      <c r="V15" s="162">
        <v>375</v>
      </c>
      <c r="W15" s="162">
        <v>375</v>
      </c>
      <c r="X15" s="162">
        <v>375</v>
      </c>
      <c r="Y15" s="162">
        <v>375</v>
      </c>
      <c r="Z15" s="162">
        <v>375</v>
      </c>
      <c r="AA15" s="162">
        <v>375</v>
      </c>
      <c r="AB15" s="162">
        <v>375</v>
      </c>
      <c r="AC15" s="162">
        <v>375</v>
      </c>
      <c r="AD15" s="162">
        <v>375</v>
      </c>
      <c r="AE15" s="163">
        <f t="shared" ref="AE15:AE22" si="26">SUM(T15:AD15)</f>
        <v>4125</v>
      </c>
      <c r="AF15" s="24" t="s">
        <v>130</v>
      </c>
    </row>
    <row r="16" spans="1:32" ht="30" hidden="1" x14ac:dyDescent="0.25">
      <c r="A16" s="1177"/>
      <c r="B16" s="1167"/>
      <c r="C16" s="1081"/>
      <c r="D16" s="2" t="s">
        <v>134</v>
      </c>
      <c r="E16" s="23">
        <f t="shared" si="24"/>
        <v>5000</v>
      </c>
      <c r="F16" s="23"/>
      <c r="G16" s="82">
        <f t="shared" si="25"/>
        <v>5000</v>
      </c>
      <c r="H16" s="179">
        <v>250</v>
      </c>
      <c r="I16" s="179">
        <v>250</v>
      </c>
      <c r="J16" s="162">
        <v>0</v>
      </c>
      <c r="K16" s="174"/>
      <c r="L16" s="162">
        <v>250</v>
      </c>
      <c r="M16" s="162">
        <v>250</v>
      </c>
      <c r="N16" s="162">
        <v>250</v>
      </c>
      <c r="O16" s="162">
        <v>250</v>
      </c>
      <c r="P16" s="162">
        <v>250</v>
      </c>
      <c r="Q16" s="162">
        <v>250</v>
      </c>
      <c r="R16" s="162">
        <v>250</v>
      </c>
      <c r="S16" s="22">
        <f t="shared" si="23"/>
        <v>2250</v>
      </c>
      <c r="T16" s="162">
        <v>250</v>
      </c>
      <c r="U16" s="162">
        <v>250</v>
      </c>
      <c r="V16" s="162">
        <v>250</v>
      </c>
      <c r="W16" s="162">
        <v>250</v>
      </c>
      <c r="X16" s="162">
        <v>250</v>
      </c>
      <c r="Y16" s="162">
        <v>250</v>
      </c>
      <c r="Z16" s="162">
        <v>250</v>
      </c>
      <c r="AA16" s="162">
        <v>250</v>
      </c>
      <c r="AB16" s="162">
        <v>250</v>
      </c>
      <c r="AC16" s="162">
        <v>250</v>
      </c>
      <c r="AD16" s="162">
        <v>250</v>
      </c>
      <c r="AE16" s="163">
        <f t="shared" si="26"/>
        <v>2750</v>
      </c>
      <c r="AF16" s="24" t="s">
        <v>130</v>
      </c>
    </row>
    <row r="17" spans="1:32" ht="15" hidden="1" x14ac:dyDescent="0.25">
      <c r="A17" s="1177"/>
      <c r="B17" s="1167"/>
      <c r="C17" s="1081"/>
      <c r="D17" s="2" t="s">
        <v>136</v>
      </c>
      <c r="E17" s="23">
        <f t="shared" si="24"/>
        <v>54150.200000000012</v>
      </c>
      <c r="F17" s="23"/>
      <c r="G17" s="82">
        <f t="shared" si="25"/>
        <v>54150.200000000012</v>
      </c>
      <c r="H17" s="179">
        <v>2707.51</v>
      </c>
      <c r="I17" s="162">
        <v>2707.51</v>
      </c>
      <c r="J17" s="162">
        <v>0</v>
      </c>
      <c r="K17" s="174"/>
      <c r="L17" s="162">
        <v>2707.51</v>
      </c>
      <c r="M17" s="162">
        <v>2707.51</v>
      </c>
      <c r="N17" s="162">
        <v>2707.51</v>
      </c>
      <c r="O17" s="162">
        <v>2707.51</v>
      </c>
      <c r="P17" s="162">
        <v>2707.51</v>
      </c>
      <c r="Q17" s="162">
        <v>2707.51</v>
      </c>
      <c r="R17" s="162">
        <v>2707.51</v>
      </c>
      <c r="S17" s="22">
        <f t="shared" si="23"/>
        <v>24367.590000000004</v>
      </c>
      <c r="T17" s="162">
        <v>2707.51</v>
      </c>
      <c r="U17" s="162">
        <v>2707.51</v>
      </c>
      <c r="V17" s="162">
        <v>2707.51</v>
      </c>
      <c r="W17" s="162">
        <v>2707.51</v>
      </c>
      <c r="X17" s="162">
        <v>2707.51</v>
      </c>
      <c r="Y17" s="162">
        <v>2707.51</v>
      </c>
      <c r="Z17" s="162">
        <v>2707.51</v>
      </c>
      <c r="AA17" s="162">
        <v>2707.51</v>
      </c>
      <c r="AB17" s="162">
        <v>2707.51</v>
      </c>
      <c r="AC17" s="162">
        <v>2707.51</v>
      </c>
      <c r="AD17" s="162">
        <v>2707.51</v>
      </c>
      <c r="AE17" s="163">
        <f t="shared" si="26"/>
        <v>29782.610000000008</v>
      </c>
      <c r="AF17" s="24" t="s">
        <v>130</v>
      </c>
    </row>
    <row r="18" spans="1:32" ht="15" hidden="1" x14ac:dyDescent="0.25">
      <c r="A18" s="1177"/>
      <c r="B18" s="1167"/>
      <c r="C18" s="1081"/>
      <c r="D18" s="2" t="s">
        <v>138</v>
      </c>
      <c r="E18" s="23">
        <f t="shared" si="24"/>
        <v>46520.83333333327</v>
      </c>
      <c r="F18" s="23"/>
      <c r="G18" s="82">
        <f t="shared" si="25"/>
        <v>46520.83333333327</v>
      </c>
      <c r="H18" s="162"/>
      <c r="I18" s="162"/>
      <c r="J18" s="162">
        <f>+(25375/12)*3</f>
        <v>6343.75</v>
      </c>
      <c r="K18" s="162"/>
      <c r="L18" s="162"/>
      <c r="M18" s="162"/>
      <c r="N18" s="162"/>
      <c r="O18" s="162"/>
      <c r="P18" s="162"/>
      <c r="Q18" s="162"/>
      <c r="R18" s="162">
        <f>+(2114.58333333333)*8</f>
        <v>16916.666666666639</v>
      </c>
      <c r="S18" s="22">
        <f t="shared" si="23"/>
        <v>23260.416666666639</v>
      </c>
      <c r="T18" s="162"/>
      <c r="U18" s="162"/>
      <c r="V18" s="162"/>
      <c r="W18" s="162"/>
      <c r="X18" s="162"/>
      <c r="Y18" s="162"/>
      <c r="Z18" s="162"/>
      <c r="AA18" s="162"/>
      <c r="AB18" s="162"/>
      <c r="AC18" s="162"/>
      <c r="AD18" s="162">
        <f>2114.58333333333*11</f>
        <v>23260.416666666628</v>
      </c>
      <c r="AE18" s="163">
        <f t="shared" si="26"/>
        <v>23260.416666666628</v>
      </c>
      <c r="AF18" s="24" t="s">
        <v>130</v>
      </c>
    </row>
    <row r="19" spans="1:32" ht="15" hidden="1" x14ac:dyDescent="0.25">
      <c r="A19" s="1177"/>
      <c r="B19" s="1167"/>
      <c r="C19" s="1081"/>
      <c r="D19" s="2" t="s">
        <v>140</v>
      </c>
      <c r="E19" s="23">
        <f t="shared" si="24"/>
        <v>44406.249999999935</v>
      </c>
      <c r="F19" s="23"/>
      <c r="G19" s="82">
        <f t="shared" si="25"/>
        <v>44406.249999999935</v>
      </c>
      <c r="H19" s="162"/>
      <c r="I19" s="162"/>
      <c r="J19" s="162">
        <f>+(25375/12)*3</f>
        <v>6343.75</v>
      </c>
      <c r="K19" s="162"/>
      <c r="L19" s="162"/>
      <c r="M19" s="162">
        <f>2114.58333333333*1</f>
        <v>2114.5833333333298</v>
      </c>
      <c r="N19" s="162"/>
      <c r="O19" s="162"/>
      <c r="P19" s="162"/>
      <c r="Q19" s="162"/>
      <c r="R19" s="162">
        <f>2114.58333333333*6</f>
        <v>12687.499999999978</v>
      </c>
      <c r="S19" s="22">
        <f t="shared" si="23"/>
        <v>21145.833333333307</v>
      </c>
      <c r="T19" s="162"/>
      <c r="U19" s="162"/>
      <c r="V19" s="162"/>
      <c r="W19" s="162"/>
      <c r="X19" s="162"/>
      <c r="Y19" s="162"/>
      <c r="Z19" s="162">
        <f>2114.58333333333*6</f>
        <v>12687.499999999978</v>
      </c>
      <c r="AA19" s="162"/>
      <c r="AB19" s="162"/>
      <c r="AC19" s="162"/>
      <c r="AD19" s="162">
        <f>2114.58333333333*5</f>
        <v>10572.91666666665</v>
      </c>
      <c r="AE19" s="163">
        <f t="shared" si="26"/>
        <v>23260.416666666628</v>
      </c>
      <c r="AF19" s="24" t="s">
        <v>130</v>
      </c>
    </row>
    <row r="20" spans="1:32" ht="15" hidden="1" x14ac:dyDescent="0.25">
      <c r="A20" s="1177"/>
      <c r="B20" s="1167"/>
      <c r="C20" s="1081"/>
      <c r="D20" s="2" t="s">
        <v>142</v>
      </c>
      <c r="E20" s="23">
        <f t="shared" si="24"/>
        <v>366.66666666666742</v>
      </c>
      <c r="F20" s="23"/>
      <c r="G20" s="82">
        <f t="shared" si="25"/>
        <v>366.66666666666742</v>
      </c>
      <c r="H20" s="162"/>
      <c r="I20" s="162"/>
      <c r="J20" s="162">
        <f>+(16.6666666666667)*3</f>
        <v>50.000000000000099</v>
      </c>
      <c r="K20" s="162"/>
      <c r="L20" s="162"/>
      <c r="M20" s="162"/>
      <c r="N20" s="162"/>
      <c r="O20" s="162"/>
      <c r="P20" s="162"/>
      <c r="Q20" s="162"/>
      <c r="R20" s="162">
        <f>16.6666666666667*8</f>
        <v>133.3333333333336</v>
      </c>
      <c r="S20" s="22">
        <f t="shared" si="23"/>
        <v>183.33333333333371</v>
      </c>
      <c r="T20" s="550"/>
      <c r="U20" s="162"/>
      <c r="V20" s="162"/>
      <c r="W20" s="162"/>
      <c r="X20" s="162"/>
      <c r="Y20" s="162"/>
      <c r="Z20" s="162"/>
      <c r="AA20" s="162"/>
      <c r="AB20" s="162"/>
      <c r="AC20" s="162"/>
      <c r="AD20" s="162">
        <f>16.6666666666667*11</f>
        <v>183.33333333333371</v>
      </c>
      <c r="AE20" s="163">
        <f t="shared" si="26"/>
        <v>183.33333333333371</v>
      </c>
      <c r="AF20" s="24" t="s">
        <v>130</v>
      </c>
    </row>
    <row r="21" spans="1:32" ht="15" hidden="1" x14ac:dyDescent="0.25">
      <c r="A21" s="1177"/>
      <c r="B21" s="1167"/>
      <c r="C21" s="1081"/>
      <c r="D21" s="2" t="s">
        <v>563</v>
      </c>
      <c r="E21" s="23">
        <f t="shared" si="24"/>
        <v>46520.833333333299</v>
      </c>
      <c r="F21" s="23"/>
      <c r="G21" s="82">
        <f t="shared" si="25"/>
        <v>46520.833333333299</v>
      </c>
      <c r="H21" s="162"/>
      <c r="I21" s="162"/>
      <c r="J21" s="162">
        <f>+(25375/12)*3</f>
        <v>6343.75</v>
      </c>
      <c r="K21" s="162"/>
      <c r="L21" s="162"/>
      <c r="M21" s="162"/>
      <c r="N21" s="162"/>
      <c r="O21" s="162"/>
      <c r="P21" s="162"/>
      <c r="Q21" s="550"/>
      <c r="R21" s="162">
        <f>+(25375/12)*8</f>
        <v>16916.666666666668</v>
      </c>
      <c r="S21" s="22">
        <f t="shared" si="23"/>
        <v>23260.416666666668</v>
      </c>
      <c r="T21" s="162"/>
      <c r="U21" s="162"/>
      <c r="V21" s="162"/>
      <c r="W21" s="162"/>
      <c r="X21" s="162"/>
      <c r="Y21" s="162"/>
      <c r="Z21" s="162"/>
      <c r="AA21" s="162"/>
      <c r="AB21" s="162"/>
      <c r="AC21" s="162"/>
      <c r="AD21" s="162">
        <f>2114.58333333333*11</f>
        <v>23260.416666666628</v>
      </c>
      <c r="AE21" s="163">
        <f t="shared" si="26"/>
        <v>23260.416666666628</v>
      </c>
      <c r="AF21" s="24" t="s">
        <v>130</v>
      </c>
    </row>
    <row r="22" spans="1:32" ht="15" hidden="1" x14ac:dyDescent="0.25">
      <c r="A22" s="1177"/>
      <c r="B22" s="1168"/>
      <c r="C22" s="1082"/>
      <c r="D22" s="2" t="s">
        <v>145</v>
      </c>
      <c r="E22" s="23">
        <f t="shared" si="24"/>
        <v>38485.40999999996</v>
      </c>
      <c r="F22" s="23"/>
      <c r="G22" s="82">
        <f t="shared" si="25"/>
        <v>38485.40999999996</v>
      </c>
      <c r="H22" s="162"/>
      <c r="I22" s="162"/>
      <c r="J22" s="162">
        <v>4229.16</v>
      </c>
      <c r="K22" s="162"/>
      <c r="L22" s="162"/>
      <c r="M22" s="162"/>
      <c r="N22" s="162"/>
      <c r="O22" s="162"/>
      <c r="P22" s="162"/>
      <c r="Q22" s="162"/>
      <c r="R22" s="162">
        <f>+(845.833333333333)*13</f>
        <v>10995.833333333328</v>
      </c>
      <c r="S22" s="22">
        <f t="shared" si="23"/>
        <v>15224.993333333328</v>
      </c>
      <c r="T22" s="162"/>
      <c r="U22" s="162"/>
      <c r="V22" s="162"/>
      <c r="W22" s="162"/>
      <c r="X22" s="162"/>
      <c r="Y22" s="162"/>
      <c r="Z22" s="162"/>
      <c r="AA22" s="162"/>
      <c r="AB22" s="162"/>
      <c r="AC22" s="162"/>
      <c r="AD22" s="162">
        <f>2114.58333333333*11</f>
        <v>23260.416666666628</v>
      </c>
      <c r="AE22" s="163">
        <f t="shared" si="26"/>
        <v>23260.416666666628</v>
      </c>
      <c r="AF22" s="24" t="s">
        <v>130</v>
      </c>
    </row>
    <row r="23" spans="1:32" s="58" customFormat="1" ht="21" hidden="1" customHeight="1" x14ac:dyDescent="0.25">
      <c r="A23" s="1177"/>
      <c r="B23" s="1167" t="s">
        <v>3</v>
      </c>
      <c r="C23" s="1081" t="s">
        <v>378</v>
      </c>
      <c r="D23" s="795"/>
      <c r="E23" s="52">
        <f>SUM(E24:E32)</f>
        <v>531822.6166666667</v>
      </c>
      <c r="F23" s="52">
        <f>SUM(F24:F32)</f>
        <v>0</v>
      </c>
      <c r="G23" s="52">
        <f>+E23+F23</f>
        <v>531822.6166666667</v>
      </c>
      <c r="H23" s="52">
        <f>SUM(H24:H32)</f>
        <v>20585.61</v>
      </c>
      <c r="I23" s="52">
        <f t="shared" ref="I23:AC23" si="27">SUM(I24:I32)</f>
        <v>20585.61</v>
      </c>
      <c r="J23" s="52">
        <f t="shared" si="27"/>
        <v>16893.75</v>
      </c>
      <c r="K23" s="52">
        <f t="shared" si="27"/>
        <v>0</v>
      </c>
      <c r="L23" s="52">
        <f t="shared" si="27"/>
        <v>20585.61</v>
      </c>
      <c r="M23" s="52">
        <f t="shared" si="27"/>
        <v>22116.86</v>
      </c>
      <c r="N23" s="52">
        <f t="shared" si="27"/>
        <v>20585.61</v>
      </c>
      <c r="O23" s="52">
        <f t="shared" si="27"/>
        <v>20585.61</v>
      </c>
      <c r="P23" s="52">
        <f t="shared" si="27"/>
        <v>20585.61</v>
      </c>
      <c r="Q23" s="52">
        <f t="shared" si="27"/>
        <v>20585.61</v>
      </c>
      <c r="R23" s="52">
        <f t="shared" si="27"/>
        <v>62368.943333333336</v>
      </c>
      <c r="S23" s="72">
        <f t="shared" si="27"/>
        <v>245478.82333333333</v>
      </c>
      <c r="T23" s="52">
        <f t="shared" si="27"/>
        <v>20585.61</v>
      </c>
      <c r="U23" s="52">
        <f t="shared" si="27"/>
        <v>20585.61</v>
      </c>
      <c r="V23" s="52">
        <f t="shared" si="27"/>
        <v>20585.61</v>
      </c>
      <c r="W23" s="52">
        <f t="shared" si="27"/>
        <v>20585.61</v>
      </c>
      <c r="X23" s="52">
        <f t="shared" si="27"/>
        <v>20585.61</v>
      </c>
      <c r="Y23" s="52">
        <f t="shared" si="27"/>
        <v>20585.61</v>
      </c>
      <c r="Z23" s="52">
        <f t="shared" si="27"/>
        <v>29773.11</v>
      </c>
      <c r="AA23" s="52">
        <f t="shared" si="27"/>
        <v>20585.61</v>
      </c>
      <c r="AB23" s="52">
        <f t="shared" si="27"/>
        <v>20585.61</v>
      </c>
      <c r="AC23" s="52">
        <f t="shared" si="27"/>
        <v>20585.61</v>
      </c>
      <c r="AD23" s="52">
        <f>SUM(AD24:AD32)</f>
        <v>71300.193333333329</v>
      </c>
      <c r="AE23" s="52">
        <f>SUM(AE24:AE32)</f>
        <v>286343.79333333333</v>
      </c>
      <c r="AF23" s="52"/>
    </row>
    <row r="24" spans="1:32" ht="15" hidden="1" x14ac:dyDescent="0.25">
      <c r="A24" s="1177"/>
      <c r="B24" s="1167"/>
      <c r="C24" s="1081"/>
      <c r="D24" s="2" t="s">
        <v>129</v>
      </c>
      <c r="E24" s="23">
        <f t="shared" ref="E24:E32" si="28">+S24+AE24</f>
        <v>360000</v>
      </c>
      <c r="F24" s="23"/>
      <c r="G24" s="82">
        <f>+E24+F24</f>
        <v>360000</v>
      </c>
      <c r="H24" s="179">
        <v>18000</v>
      </c>
      <c r="I24" s="179">
        <v>18000</v>
      </c>
      <c r="J24" s="162">
        <v>0</v>
      </c>
      <c r="K24" s="162"/>
      <c r="L24" s="162">
        <v>18000</v>
      </c>
      <c r="M24" s="162">
        <v>18000</v>
      </c>
      <c r="N24" s="162">
        <v>18000</v>
      </c>
      <c r="O24" s="162">
        <v>18000</v>
      </c>
      <c r="P24" s="162">
        <v>18000</v>
      </c>
      <c r="Q24" s="162">
        <v>18000</v>
      </c>
      <c r="R24" s="162">
        <v>18000</v>
      </c>
      <c r="S24" s="22">
        <f t="shared" ref="S24:S32" si="29">SUM(H24:R24)</f>
        <v>162000</v>
      </c>
      <c r="T24" s="162">
        <v>18000</v>
      </c>
      <c r="U24" s="162">
        <v>18000</v>
      </c>
      <c r="V24" s="162">
        <v>18000</v>
      </c>
      <c r="W24" s="162">
        <v>18000</v>
      </c>
      <c r="X24" s="162">
        <v>18000</v>
      </c>
      <c r="Y24" s="162">
        <v>18000</v>
      </c>
      <c r="Z24" s="162">
        <v>18000</v>
      </c>
      <c r="AA24" s="162">
        <v>18000</v>
      </c>
      <c r="AB24" s="162">
        <v>18000</v>
      </c>
      <c r="AC24" s="162">
        <v>18000</v>
      </c>
      <c r="AD24" s="162">
        <v>18000</v>
      </c>
      <c r="AE24" s="163">
        <f t="shared" ref="AE24:AE32" si="30">SUM(T24:AD24)</f>
        <v>198000</v>
      </c>
      <c r="AF24" s="24" t="s">
        <v>130</v>
      </c>
    </row>
    <row r="25" spans="1:32" ht="30" hidden="1" x14ac:dyDescent="0.25">
      <c r="A25" s="1177"/>
      <c r="B25" s="1167"/>
      <c r="C25" s="1081"/>
      <c r="D25" s="2" t="s">
        <v>132</v>
      </c>
      <c r="E25" s="23">
        <f t="shared" si="28"/>
        <v>7500</v>
      </c>
      <c r="F25" s="23"/>
      <c r="G25" s="82">
        <f t="shared" ref="G25:G32" si="31">+E25+F25</f>
        <v>7500</v>
      </c>
      <c r="H25" s="179">
        <v>375</v>
      </c>
      <c r="I25" s="179">
        <v>375</v>
      </c>
      <c r="J25" s="162">
        <v>0</v>
      </c>
      <c r="K25" s="162"/>
      <c r="L25" s="162">
        <v>375</v>
      </c>
      <c r="M25" s="162">
        <v>375</v>
      </c>
      <c r="N25" s="162">
        <v>375</v>
      </c>
      <c r="O25" s="162">
        <v>375</v>
      </c>
      <c r="P25" s="162">
        <v>375</v>
      </c>
      <c r="Q25" s="162">
        <v>375</v>
      </c>
      <c r="R25" s="162">
        <v>375</v>
      </c>
      <c r="S25" s="22">
        <f t="shared" si="29"/>
        <v>3375</v>
      </c>
      <c r="T25" s="162">
        <v>375</v>
      </c>
      <c r="U25" s="162">
        <v>375</v>
      </c>
      <c r="V25" s="162">
        <v>375</v>
      </c>
      <c r="W25" s="162">
        <v>375</v>
      </c>
      <c r="X25" s="162">
        <v>375</v>
      </c>
      <c r="Y25" s="162">
        <v>375</v>
      </c>
      <c r="Z25" s="162">
        <v>375</v>
      </c>
      <c r="AA25" s="162">
        <v>375</v>
      </c>
      <c r="AB25" s="162">
        <v>375</v>
      </c>
      <c r="AC25" s="162">
        <v>375</v>
      </c>
      <c r="AD25" s="162">
        <v>375</v>
      </c>
      <c r="AE25" s="163">
        <f t="shared" si="30"/>
        <v>4125</v>
      </c>
      <c r="AF25" s="24" t="s">
        <v>130</v>
      </c>
    </row>
    <row r="26" spans="1:32" ht="30" hidden="1" x14ac:dyDescent="0.25">
      <c r="A26" s="1177"/>
      <c r="B26" s="1167"/>
      <c r="C26" s="1081"/>
      <c r="D26" s="2" t="s">
        <v>134</v>
      </c>
      <c r="E26" s="23">
        <f t="shared" si="28"/>
        <v>5000</v>
      </c>
      <c r="F26" s="23"/>
      <c r="G26" s="82">
        <f t="shared" si="31"/>
        <v>5000</v>
      </c>
      <c r="H26" s="179">
        <v>250</v>
      </c>
      <c r="I26" s="179">
        <v>250</v>
      </c>
      <c r="J26" s="162">
        <v>0</v>
      </c>
      <c r="K26" s="162"/>
      <c r="L26" s="162">
        <v>250</v>
      </c>
      <c r="M26" s="162">
        <v>250</v>
      </c>
      <c r="N26" s="162">
        <v>250</v>
      </c>
      <c r="O26" s="162">
        <v>250</v>
      </c>
      <c r="P26" s="162">
        <v>250</v>
      </c>
      <c r="Q26" s="162">
        <v>250</v>
      </c>
      <c r="R26" s="162">
        <v>250</v>
      </c>
      <c r="S26" s="22">
        <f t="shared" si="29"/>
        <v>2250</v>
      </c>
      <c r="T26" s="162">
        <v>250</v>
      </c>
      <c r="U26" s="162">
        <v>250</v>
      </c>
      <c r="V26" s="162">
        <v>250</v>
      </c>
      <c r="W26" s="162">
        <v>250</v>
      </c>
      <c r="X26" s="162">
        <v>250</v>
      </c>
      <c r="Y26" s="162">
        <v>250</v>
      </c>
      <c r="Z26" s="162">
        <v>250</v>
      </c>
      <c r="AA26" s="162">
        <v>250</v>
      </c>
      <c r="AB26" s="162">
        <v>250</v>
      </c>
      <c r="AC26" s="162">
        <v>250</v>
      </c>
      <c r="AD26" s="162">
        <v>250</v>
      </c>
      <c r="AE26" s="163">
        <f t="shared" si="30"/>
        <v>2750</v>
      </c>
      <c r="AF26" s="24" t="s">
        <v>130</v>
      </c>
    </row>
    <row r="27" spans="1:32" ht="15" hidden="1" x14ac:dyDescent="0.25">
      <c r="A27" s="1177"/>
      <c r="B27" s="1167"/>
      <c r="C27" s="1081"/>
      <c r="D27" s="2" t="s">
        <v>136</v>
      </c>
      <c r="E27" s="23">
        <f t="shared" si="28"/>
        <v>39212.200000000004</v>
      </c>
      <c r="F27" s="23"/>
      <c r="G27" s="82">
        <f t="shared" si="31"/>
        <v>39212.200000000004</v>
      </c>
      <c r="H27" s="179">
        <v>1960.61</v>
      </c>
      <c r="I27" s="162">
        <v>1960.61</v>
      </c>
      <c r="J27" s="162">
        <v>0</v>
      </c>
      <c r="K27" s="162"/>
      <c r="L27" s="162">
        <v>1960.61</v>
      </c>
      <c r="M27" s="162">
        <v>1960.61</v>
      </c>
      <c r="N27" s="162">
        <v>1960.61</v>
      </c>
      <c r="O27" s="162">
        <v>1960.61</v>
      </c>
      <c r="P27" s="162">
        <v>1960.61</v>
      </c>
      <c r="Q27" s="162">
        <v>1960.61</v>
      </c>
      <c r="R27" s="162">
        <v>1960.61</v>
      </c>
      <c r="S27" s="22">
        <f t="shared" si="29"/>
        <v>17645.490000000002</v>
      </c>
      <c r="T27" s="162">
        <v>1960.61</v>
      </c>
      <c r="U27" s="162">
        <v>1960.61</v>
      </c>
      <c r="V27" s="162">
        <v>1960.61</v>
      </c>
      <c r="W27" s="162">
        <v>1960.61</v>
      </c>
      <c r="X27" s="162">
        <v>1960.61</v>
      </c>
      <c r="Y27" s="162">
        <v>1960.61</v>
      </c>
      <c r="Z27" s="162">
        <v>1960.61</v>
      </c>
      <c r="AA27" s="162">
        <v>1960.61</v>
      </c>
      <c r="AB27" s="162">
        <v>1960.61</v>
      </c>
      <c r="AC27" s="162">
        <v>1960.61</v>
      </c>
      <c r="AD27" s="162">
        <v>1960.61</v>
      </c>
      <c r="AE27" s="163">
        <f t="shared" si="30"/>
        <v>21566.710000000003</v>
      </c>
      <c r="AF27" s="24" t="s">
        <v>130</v>
      </c>
    </row>
    <row r="28" spans="1:32" ht="15" hidden="1" x14ac:dyDescent="0.25">
      <c r="A28" s="1177"/>
      <c r="B28" s="1167"/>
      <c r="C28" s="1081"/>
      <c r="D28" s="2" t="s">
        <v>138</v>
      </c>
      <c r="E28" s="23">
        <f t="shared" si="28"/>
        <v>33687.5</v>
      </c>
      <c r="F28" s="23"/>
      <c r="G28" s="82">
        <f t="shared" si="31"/>
        <v>33687.5</v>
      </c>
      <c r="H28" s="162"/>
      <c r="I28" s="162"/>
      <c r="J28" s="162">
        <f>+(18375/12)*3</f>
        <v>4593.75</v>
      </c>
      <c r="K28" s="162"/>
      <c r="L28" s="162"/>
      <c r="M28" s="162"/>
      <c r="N28" s="162"/>
      <c r="O28" s="162"/>
      <c r="P28" s="162"/>
      <c r="Q28" s="162"/>
      <c r="R28" s="162">
        <f>+(1531.25)*8</f>
        <v>12250</v>
      </c>
      <c r="S28" s="22">
        <f t="shared" si="29"/>
        <v>16843.75</v>
      </c>
      <c r="T28" s="162"/>
      <c r="U28" s="162"/>
      <c r="V28" s="162"/>
      <c r="W28" s="162"/>
      <c r="X28" s="162"/>
      <c r="Y28" s="162"/>
      <c r="Z28" s="162"/>
      <c r="AA28" s="162"/>
      <c r="AB28" s="162"/>
      <c r="AC28" s="162"/>
      <c r="AD28" s="162">
        <f>1531.25*11</f>
        <v>16843.75</v>
      </c>
      <c r="AE28" s="163">
        <f t="shared" si="30"/>
        <v>16843.75</v>
      </c>
      <c r="AF28" s="24" t="s">
        <v>130</v>
      </c>
    </row>
    <row r="29" spans="1:32" ht="15" hidden="1" x14ac:dyDescent="0.25">
      <c r="A29" s="1177"/>
      <c r="B29" s="1167"/>
      <c r="C29" s="1081"/>
      <c r="D29" s="2" t="s">
        <v>140</v>
      </c>
      <c r="E29" s="23">
        <f t="shared" si="28"/>
        <v>32156.25</v>
      </c>
      <c r="F29" s="23"/>
      <c r="G29" s="82">
        <f t="shared" si="31"/>
        <v>32156.25</v>
      </c>
      <c r="H29" s="162"/>
      <c r="I29" s="162"/>
      <c r="J29" s="162">
        <f>+(18375/12)*3</f>
        <v>4593.75</v>
      </c>
      <c r="K29" s="162"/>
      <c r="L29" s="162"/>
      <c r="M29" s="162">
        <f>+(18375/12)*1</f>
        <v>1531.25</v>
      </c>
      <c r="N29" s="162"/>
      <c r="O29" s="162"/>
      <c r="P29" s="162"/>
      <c r="Q29" s="162"/>
      <c r="R29" s="162">
        <f>+(18375/12)*6</f>
        <v>9187.5</v>
      </c>
      <c r="S29" s="22">
        <f t="shared" si="29"/>
        <v>15312.5</v>
      </c>
      <c r="T29" s="162"/>
      <c r="U29" s="162"/>
      <c r="V29" s="162"/>
      <c r="W29" s="162"/>
      <c r="X29" s="162"/>
      <c r="Y29" s="162"/>
      <c r="Z29" s="162">
        <f>1531.25*6</f>
        <v>9187.5</v>
      </c>
      <c r="AA29" s="162"/>
      <c r="AB29" s="162"/>
      <c r="AC29" s="162"/>
      <c r="AD29" s="162">
        <f>1531.25*5</f>
        <v>7656.25</v>
      </c>
      <c r="AE29" s="163">
        <f t="shared" si="30"/>
        <v>16843.75</v>
      </c>
      <c r="AF29" s="24" t="s">
        <v>130</v>
      </c>
    </row>
    <row r="30" spans="1:32" ht="15" hidden="1" x14ac:dyDescent="0.25">
      <c r="A30" s="1177"/>
      <c r="B30" s="1167"/>
      <c r="C30" s="1081"/>
      <c r="D30" s="2" t="s">
        <v>142</v>
      </c>
      <c r="E30" s="23">
        <f t="shared" si="28"/>
        <v>366.66666666666742</v>
      </c>
      <c r="F30" s="23"/>
      <c r="G30" s="82">
        <f t="shared" si="31"/>
        <v>366.66666666666742</v>
      </c>
      <c r="H30" s="162"/>
      <c r="I30" s="162"/>
      <c r="J30" s="162">
        <f>+(16.6666666666667)*3</f>
        <v>50.000000000000099</v>
      </c>
      <c r="K30" s="162"/>
      <c r="L30" s="162"/>
      <c r="M30" s="162"/>
      <c r="N30" s="162"/>
      <c r="O30" s="162"/>
      <c r="P30" s="162"/>
      <c r="Q30" s="162"/>
      <c r="R30" s="162">
        <f>16.6666666666667*8</f>
        <v>133.3333333333336</v>
      </c>
      <c r="S30" s="22">
        <f t="shared" si="29"/>
        <v>183.33333333333371</v>
      </c>
      <c r="T30" s="162"/>
      <c r="U30" s="162"/>
      <c r="V30" s="162"/>
      <c r="W30" s="162"/>
      <c r="X30" s="162"/>
      <c r="Y30" s="162"/>
      <c r="Z30" s="162"/>
      <c r="AA30" s="162"/>
      <c r="AB30" s="162"/>
      <c r="AC30" s="162"/>
      <c r="AD30" s="162">
        <f>16.6666666666667*11</f>
        <v>183.33333333333371</v>
      </c>
      <c r="AE30" s="163">
        <f t="shared" si="30"/>
        <v>183.33333333333371</v>
      </c>
      <c r="AF30" s="24" t="s">
        <v>130</v>
      </c>
    </row>
    <row r="31" spans="1:32" ht="15" hidden="1" x14ac:dyDescent="0.25">
      <c r="A31" s="1177"/>
      <c r="B31" s="1167"/>
      <c r="C31" s="1081"/>
      <c r="D31" s="2" t="s">
        <v>563</v>
      </c>
      <c r="E31" s="23">
        <f t="shared" si="28"/>
        <v>33687.5</v>
      </c>
      <c r="F31" s="23"/>
      <c r="G31" s="82">
        <f t="shared" si="31"/>
        <v>33687.5</v>
      </c>
      <c r="H31" s="162"/>
      <c r="I31" s="162"/>
      <c r="J31" s="162">
        <f>+(18375/12)*3</f>
        <v>4593.75</v>
      </c>
      <c r="K31" s="162"/>
      <c r="L31" s="162"/>
      <c r="M31" s="162"/>
      <c r="N31" s="162"/>
      <c r="O31" s="162"/>
      <c r="P31" s="162"/>
      <c r="Q31" s="162"/>
      <c r="R31" s="162">
        <f>1531.25*8</f>
        <v>12250</v>
      </c>
      <c r="S31" s="22">
        <f t="shared" si="29"/>
        <v>16843.75</v>
      </c>
      <c r="T31" s="162"/>
      <c r="U31" s="162"/>
      <c r="V31" s="162"/>
      <c r="W31" s="162"/>
      <c r="X31" s="162"/>
      <c r="Y31" s="162"/>
      <c r="Z31" s="162"/>
      <c r="AA31" s="162"/>
      <c r="AB31" s="162"/>
      <c r="AC31" s="162"/>
      <c r="AD31" s="162">
        <f>1531.25*11</f>
        <v>16843.75</v>
      </c>
      <c r="AE31" s="163">
        <f t="shared" si="30"/>
        <v>16843.75</v>
      </c>
      <c r="AF31" s="24" t="s">
        <v>130</v>
      </c>
    </row>
    <row r="32" spans="1:32" ht="15" hidden="1" x14ac:dyDescent="0.25">
      <c r="A32" s="1177"/>
      <c r="B32" s="1168"/>
      <c r="C32" s="1082"/>
      <c r="D32" s="2" t="s">
        <v>145</v>
      </c>
      <c r="E32" s="23">
        <f t="shared" si="28"/>
        <v>20212.5</v>
      </c>
      <c r="F32" s="23"/>
      <c r="G32" s="82">
        <f t="shared" si="31"/>
        <v>20212.5</v>
      </c>
      <c r="H32" s="162"/>
      <c r="I32" s="162"/>
      <c r="J32" s="162">
        <f>+(612.5)*5</f>
        <v>3062.5</v>
      </c>
      <c r="K32" s="162"/>
      <c r="L32" s="162"/>
      <c r="M32" s="162"/>
      <c r="N32" s="162"/>
      <c r="O32" s="162"/>
      <c r="P32" s="162"/>
      <c r="Q32" s="162"/>
      <c r="R32" s="162">
        <f>+(612.5)*13</f>
        <v>7962.5</v>
      </c>
      <c r="S32" s="22">
        <f t="shared" si="29"/>
        <v>11025</v>
      </c>
      <c r="T32" s="162"/>
      <c r="U32" s="162"/>
      <c r="V32" s="162"/>
      <c r="W32" s="162"/>
      <c r="X32" s="162"/>
      <c r="Y32" s="162"/>
      <c r="Z32" s="162"/>
      <c r="AA32" s="162"/>
      <c r="AB32" s="162"/>
      <c r="AC32" s="162"/>
      <c r="AD32" s="162">
        <f>612.5*15</f>
        <v>9187.5</v>
      </c>
      <c r="AE32" s="163">
        <f t="shared" si="30"/>
        <v>9187.5</v>
      </c>
      <c r="AF32" s="24" t="s">
        <v>130</v>
      </c>
    </row>
    <row r="33" spans="1:32" s="58" customFormat="1" ht="15" hidden="1" x14ac:dyDescent="0.25">
      <c r="A33" s="1177"/>
      <c r="B33" s="1175" t="s">
        <v>4</v>
      </c>
      <c r="C33" s="1088" t="s">
        <v>564</v>
      </c>
      <c r="D33" s="795"/>
      <c r="E33" s="52">
        <f>SUM(E34)</f>
        <v>229742.91</v>
      </c>
      <c r="F33" s="52">
        <f>SUM(F34)</f>
        <v>0</v>
      </c>
      <c r="G33" s="52">
        <f>SUM(G34)</f>
        <v>229742.91</v>
      </c>
      <c r="H33" s="52">
        <f>SUM(H34)</f>
        <v>0</v>
      </c>
      <c r="I33" s="52">
        <f t="shared" ref="I33:S33" si="32">SUM(I34)</f>
        <v>0</v>
      </c>
      <c r="J33" s="52">
        <f t="shared" si="32"/>
        <v>0</v>
      </c>
      <c r="K33" s="52">
        <f t="shared" si="32"/>
        <v>0</v>
      </c>
      <c r="L33" s="52">
        <f t="shared" si="32"/>
        <v>8742.91</v>
      </c>
      <c r="M33" s="52">
        <f t="shared" si="32"/>
        <v>13000</v>
      </c>
      <c r="N33" s="52">
        <f t="shared" si="32"/>
        <v>13000</v>
      </c>
      <c r="O33" s="52">
        <f t="shared" si="32"/>
        <v>13000</v>
      </c>
      <c r="P33" s="52">
        <f t="shared" si="32"/>
        <v>13000</v>
      </c>
      <c r="Q33" s="52">
        <f t="shared" si="32"/>
        <v>13000</v>
      </c>
      <c r="R33" s="52">
        <f t="shared" si="32"/>
        <v>13000</v>
      </c>
      <c r="S33" s="52">
        <f t="shared" si="32"/>
        <v>86742.91</v>
      </c>
      <c r="T33" s="52">
        <f t="shared" ref="T33:AE33" si="33">SUM(T34)</f>
        <v>13000</v>
      </c>
      <c r="U33" s="52">
        <f t="shared" si="33"/>
        <v>13000</v>
      </c>
      <c r="V33" s="52">
        <f t="shared" si="33"/>
        <v>13000</v>
      </c>
      <c r="W33" s="52">
        <f t="shared" si="33"/>
        <v>13000</v>
      </c>
      <c r="X33" s="52">
        <f t="shared" si="33"/>
        <v>13000</v>
      </c>
      <c r="Y33" s="52">
        <f t="shared" si="33"/>
        <v>13000</v>
      </c>
      <c r="Z33" s="52">
        <f t="shared" si="33"/>
        <v>13000</v>
      </c>
      <c r="AA33" s="52">
        <f t="shared" si="33"/>
        <v>13000</v>
      </c>
      <c r="AB33" s="52">
        <f t="shared" si="33"/>
        <v>13000</v>
      </c>
      <c r="AC33" s="52">
        <f t="shared" si="33"/>
        <v>13000</v>
      </c>
      <c r="AD33" s="52">
        <f t="shared" si="33"/>
        <v>13000</v>
      </c>
      <c r="AE33" s="52">
        <f t="shared" si="33"/>
        <v>143000</v>
      </c>
      <c r="AF33" s="52"/>
    </row>
    <row r="34" spans="1:32" ht="32.25" hidden="1" customHeight="1" x14ac:dyDescent="0.25">
      <c r="A34" s="1177"/>
      <c r="B34" s="1175"/>
      <c r="C34" s="1088"/>
      <c r="D34" s="47" t="s">
        <v>146</v>
      </c>
      <c r="E34" s="23">
        <f>+S34+AE34</f>
        <v>229742.91</v>
      </c>
      <c r="F34" s="23"/>
      <c r="G34" s="82">
        <f>+E34+F34</f>
        <v>229742.91</v>
      </c>
      <c r="H34" s="162">
        <v>0</v>
      </c>
      <c r="I34" s="162">
        <v>0</v>
      </c>
      <c r="J34" s="162">
        <v>0</v>
      </c>
      <c r="K34" s="162">
        <v>0</v>
      </c>
      <c r="L34" s="162">
        <f>13000-4257.09</f>
        <v>8742.91</v>
      </c>
      <c r="M34" s="162">
        <v>13000</v>
      </c>
      <c r="N34" s="162">
        <v>13000</v>
      </c>
      <c r="O34" s="162">
        <v>13000</v>
      </c>
      <c r="P34" s="162">
        <v>13000</v>
      </c>
      <c r="Q34" s="162">
        <v>13000</v>
      </c>
      <c r="R34" s="162">
        <v>13000</v>
      </c>
      <c r="S34" s="22">
        <f>SUM(H34:R34)</f>
        <v>86742.91</v>
      </c>
      <c r="T34" s="162">
        <v>13000</v>
      </c>
      <c r="U34" s="162">
        <v>13000</v>
      </c>
      <c r="V34" s="162">
        <v>13000</v>
      </c>
      <c r="W34" s="162">
        <v>13000</v>
      </c>
      <c r="X34" s="162">
        <v>13000</v>
      </c>
      <c r="Y34" s="162">
        <v>13000</v>
      </c>
      <c r="Z34" s="162">
        <v>13000</v>
      </c>
      <c r="AA34" s="162">
        <v>13000</v>
      </c>
      <c r="AB34" s="162">
        <v>13000</v>
      </c>
      <c r="AC34" s="162">
        <v>13000</v>
      </c>
      <c r="AD34" s="162">
        <v>13000</v>
      </c>
      <c r="AE34" s="163">
        <f>SUM(T34:AD34)</f>
        <v>143000</v>
      </c>
      <c r="AF34" s="24" t="s">
        <v>130</v>
      </c>
    </row>
    <row r="35" spans="1:32" s="58" customFormat="1" ht="24" hidden="1" customHeight="1" x14ac:dyDescent="0.25">
      <c r="A35" s="1075" t="s">
        <v>147</v>
      </c>
      <c r="B35" s="399"/>
      <c r="C35" s="400"/>
      <c r="D35" s="157"/>
      <c r="E35" s="40">
        <f>SUM(E36:E49)</f>
        <v>2409640</v>
      </c>
      <c r="F35" s="40">
        <f>SUM(F36:F49)</f>
        <v>0</v>
      </c>
      <c r="G35" s="40">
        <f>+E35+F35</f>
        <v>2409640</v>
      </c>
      <c r="H35" s="40">
        <f>SUM(H36:H49)</f>
        <v>85040</v>
      </c>
      <c r="I35" s="40">
        <f t="shared" ref="I35:S35" si="34">SUM(I36:I49)</f>
        <v>85040</v>
      </c>
      <c r="J35" s="40">
        <f t="shared" si="34"/>
        <v>95040</v>
      </c>
      <c r="K35" s="40">
        <f t="shared" si="34"/>
        <v>109080</v>
      </c>
      <c r="L35" s="40">
        <f t="shared" si="34"/>
        <v>113080</v>
      </c>
      <c r="M35" s="40">
        <f t="shared" si="34"/>
        <v>113080</v>
      </c>
      <c r="N35" s="40">
        <f t="shared" si="34"/>
        <v>113080</v>
      </c>
      <c r="O35" s="40">
        <f t="shared" si="34"/>
        <v>113080</v>
      </c>
      <c r="P35" s="40">
        <f t="shared" si="34"/>
        <v>113080</v>
      </c>
      <c r="Q35" s="40">
        <f t="shared" si="34"/>
        <v>113080</v>
      </c>
      <c r="R35" s="40">
        <f t="shared" si="34"/>
        <v>113080</v>
      </c>
      <c r="S35" s="40">
        <f t="shared" si="34"/>
        <v>1165760</v>
      </c>
      <c r="T35" s="40">
        <f>SUM(T36:T49)</f>
        <v>113080</v>
      </c>
      <c r="U35" s="40">
        <f t="shared" ref="U35:AD35" si="35">SUM(U36:U49)</f>
        <v>113080</v>
      </c>
      <c r="V35" s="40">
        <f t="shared" si="35"/>
        <v>113080</v>
      </c>
      <c r="W35" s="40">
        <f t="shared" si="35"/>
        <v>113080</v>
      </c>
      <c r="X35" s="40">
        <f t="shared" si="35"/>
        <v>113080</v>
      </c>
      <c r="Y35" s="40">
        <f t="shared" si="35"/>
        <v>113080</v>
      </c>
      <c r="Z35" s="40">
        <f t="shared" si="35"/>
        <v>113080</v>
      </c>
      <c r="AA35" s="40">
        <f t="shared" si="35"/>
        <v>113080</v>
      </c>
      <c r="AB35" s="40">
        <f t="shared" si="35"/>
        <v>113080</v>
      </c>
      <c r="AC35" s="40">
        <f t="shared" si="35"/>
        <v>113080</v>
      </c>
      <c r="AD35" s="40">
        <f t="shared" si="35"/>
        <v>113080</v>
      </c>
      <c r="AE35" s="40">
        <f>SUM(AE36:AE49)</f>
        <v>1243880</v>
      </c>
      <c r="AF35" s="40"/>
    </row>
    <row r="36" spans="1:32" ht="15" hidden="1" x14ac:dyDescent="0.25">
      <c r="A36" s="1076"/>
      <c r="B36" s="1" t="s">
        <v>128</v>
      </c>
      <c r="C36" s="2" t="s">
        <v>56</v>
      </c>
      <c r="D36" s="2" t="s">
        <v>56</v>
      </c>
      <c r="E36" s="23">
        <f t="shared" ref="E36:E49" si="36">+S36+AE36</f>
        <v>220000</v>
      </c>
      <c r="F36" s="23"/>
      <c r="G36" s="82">
        <f>+E36+F36</f>
        <v>220000</v>
      </c>
      <c r="H36" s="179">
        <v>10000</v>
      </c>
      <c r="I36" s="179">
        <v>10000</v>
      </c>
      <c r="J36" s="162">
        <v>10000</v>
      </c>
      <c r="K36" s="162">
        <v>10000</v>
      </c>
      <c r="L36" s="162">
        <v>10000</v>
      </c>
      <c r="M36" s="162">
        <v>10000</v>
      </c>
      <c r="N36" s="162">
        <v>10000</v>
      </c>
      <c r="O36" s="162">
        <v>10000</v>
      </c>
      <c r="P36" s="162">
        <v>10000</v>
      </c>
      <c r="Q36" s="162">
        <v>10000</v>
      </c>
      <c r="R36" s="162">
        <v>10000</v>
      </c>
      <c r="S36" s="22">
        <f t="shared" ref="S36:S49" si="37">SUM(H36:R36)</f>
        <v>110000</v>
      </c>
      <c r="T36" s="162">
        <v>10000</v>
      </c>
      <c r="U36" s="162">
        <v>10000</v>
      </c>
      <c r="V36" s="162">
        <v>10000</v>
      </c>
      <c r="W36" s="162">
        <v>10000</v>
      </c>
      <c r="X36" s="162">
        <v>10000</v>
      </c>
      <c r="Y36" s="162">
        <v>10000</v>
      </c>
      <c r="Z36" s="162">
        <v>10000</v>
      </c>
      <c r="AA36" s="162">
        <v>10000</v>
      </c>
      <c r="AB36" s="162">
        <v>10000</v>
      </c>
      <c r="AC36" s="162">
        <v>10000</v>
      </c>
      <c r="AD36" s="162">
        <v>10000</v>
      </c>
      <c r="AE36" s="163">
        <f t="shared" ref="AE36:AE48" si="38">SUM(T36:AD36)</f>
        <v>110000</v>
      </c>
      <c r="AF36" s="24" t="s">
        <v>130</v>
      </c>
    </row>
    <row r="37" spans="1:32" ht="45" hidden="1" x14ac:dyDescent="0.25">
      <c r="A37" s="1076"/>
      <c r="B37" s="402" t="s">
        <v>131</v>
      </c>
      <c r="C37" s="47" t="s">
        <v>560</v>
      </c>
      <c r="D37" s="47" t="s">
        <v>560</v>
      </c>
      <c r="E37" s="23">
        <f t="shared" si="36"/>
        <v>420000</v>
      </c>
      <c r="F37" s="23"/>
      <c r="G37" s="82">
        <f t="shared" ref="G37:G49" si="39">+E37+F37</f>
        <v>420000</v>
      </c>
      <c r="H37" s="179">
        <v>10000</v>
      </c>
      <c r="I37" s="179">
        <v>10000</v>
      </c>
      <c r="J37" s="162">
        <v>20000</v>
      </c>
      <c r="K37" s="162">
        <v>20000</v>
      </c>
      <c r="L37" s="162">
        <v>20000</v>
      </c>
      <c r="M37" s="162">
        <v>20000</v>
      </c>
      <c r="N37" s="162">
        <v>20000</v>
      </c>
      <c r="O37" s="162">
        <v>20000</v>
      </c>
      <c r="P37" s="162">
        <v>20000</v>
      </c>
      <c r="Q37" s="162">
        <v>20000</v>
      </c>
      <c r="R37" s="162">
        <v>20000</v>
      </c>
      <c r="S37" s="22">
        <f t="shared" si="37"/>
        <v>200000</v>
      </c>
      <c r="T37" s="162">
        <v>20000</v>
      </c>
      <c r="U37" s="162">
        <v>20000</v>
      </c>
      <c r="V37" s="162">
        <v>20000</v>
      </c>
      <c r="W37" s="162">
        <v>20000</v>
      </c>
      <c r="X37" s="162">
        <v>20000</v>
      </c>
      <c r="Y37" s="162">
        <v>20000</v>
      </c>
      <c r="Z37" s="162">
        <v>20000</v>
      </c>
      <c r="AA37" s="162">
        <v>20000</v>
      </c>
      <c r="AB37" s="162">
        <v>20000</v>
      </c>
      <c r="AC37" s="162">
        <v>20000</v>
      </c>
      <c r="AD37" s="162">
        <v>20000</v>
      </c>
      <c r="AE37" s="163">
        <f t="shared" si="38"/>
        <v>220000</v>
      </c>
      <c r="AF37" s="24" t="s">
        <v>130</v>
      </c>
    </row>
    <row r="38" spans="1:32" ht="30" hidden="1" x14ac:dyDescent="0.25">
      <c r="A38" s="1076"/>
      <c r="B38" s="1" t="s">
        <v>133</v>
      </c>
      <c r="C38" s="3" t="s">
        <v>57</v>
      </c>
      <c r="D38" s="3" t="s">
        <v>57</v>
      </c>
      <c r="E38" s="23">
        <f t="shared" si="36"/>
        <v>220000</v>
      </c>
      <c r="F38" s="23"/>
      <c r="G38" s="82">
        <f t="shared" si="39"/>
        <v>220000</v>
      </c>
      <c r="H38" s="179">
        <v>10000</v>
      </c>
      <c r="I38" s="179">
        <v>10000</v>
      </c>
      <c r="J38" s="162">
        <v>10000</v>
      </c>
      <c r="K38" s="162">
        <v>10000</v>
      </c>
      <c r="L38" s="162">
        <v>10000</v>
      </c>
      <c r="M38" s="162">
        <v>10000</v>
      </c>
      <c r="N38" s="162">
        <v>10000</v>
      </c>
      <c r="O38" s="162">
        <v>10000</v>
      </c>
      <c r="P38" s="162">
        <v>10000</v>
      </c>
      <c r="Q38" s="162">
        <v>10000</v>
      </c>
      <c r="R38" s="162">
        <v>10000</v>
      </c>
      <c r="S38" s="22">
        <f t="shared" si="37"/>
        <v>110000</v>
      </c>
      <c r="T38" s="162">
        <v>10000</v>
      </c>
      <c r="U38" s="162">
        <v>10000</v>
      </c>
      <c r="V38" s="162">
        <v>10000</v>
      </c>
      <c r="W38" s="162">
        <v>10000</v>
      </c>
      <c r="X38" s="162">
        <v>10000</v>
      </c>
      <c r="Y38" s="162">
        <v>10000</v>
      </c>
      <c r="Z38" s="162">
        <v>10000</v>
      </c>
      <c r="AA38" s="162">
        <v>10000</v>
      </c>
      <c r="AB38" s="162">
        <v>10000</v>
      </c>
      <c r="AC38" s="162">
        <v>10000</v>
      </c>
      <c r="AD38" s="162">
        <v>10000</v>
      </c>
      <c r="AE38" s="163">
        <f t="shared" si="38"/>
        <v>110000</v>
      </c>
      <c r="AF38" s="24" t="s">
        <v>130</v>
      </c>
    </row>
    <row r="39" spans="1:32" ht="18.600000000000001" hidden="1" customHeight="1" x14ac:dyDescent="0.25">
      <c r="A39" s="1076"/>
      <c r="B39" s="1" t="s">
        <v>135</v>
      </c>
      <c r="C39" s="3" t="s">
        <v>58</v>
      </c>
      <c r="D39" s="3" t="s">
        <v>58</v>
      </c>
      <c r="E39" s="23">
        <f t="shared" si="36"/>
        <v>220000</v>
      </c>
      <c r="F39" s="23"/>
      <c r="G39" s="82">
        <f t="shared" si="39"/>
        <v>220000</v>
      </c>
      <c r="H39" s="179">
        <v>10000</v>
      </c>
      <c r="I39" s="179">
        <v>10000</v>
      </c>
      <c r="J39" s="162">
        <v>10000</v>
      </c>
      <c r="K39" s="162">
        <v>10000</v>
      </c>
      <c r="L39" s="162">
        <v>10000</v>
      </c>
      <c r="M39" s="162">
        <v>10000</v>
      </c>
      <c r="N39" s="162">
        <v>10000</v>
      </c>
      <c r="O39" s="162">
        <v>10000</v>
      </c>
      <c r="P39" s="162">
        <v>10000</v>
      </c>
      <c r="Q39" s="162">
        <v>10000</v>
      </c>
      <c r="R39" s="162">
        <v>10000</v>
      </c>
      <c r="S39" s="22">
        <f t="shared" si="37"/>
        <v>110000</v>
      </c>
      <c r="T39" s="162">
        <v>10000</v>
      </c>
      <c r="U39" s="162">
        <v>10000</v>
      </c>
      <c r="V39" s="162">
        <v>10000</v>
      </c>
      <c r="W39" s="162">
        <v>10000</v>
      </c>
      <c r="X39" s="162">
        <v>10000</v>
      </c>
      <c r="Y39" s="162">
        <v>10000</v>
      </c>
      <c r="Z39" s="162">
        <v>10000</v>
      </c>
      <c r="AA39" s="162">
        <v>10000</v>
      </c>
      <c r="AB39" s="162">
        <v>10000</v>
      </c>
      <c r="AC39" s="162">
        <v>10000</v>
      </c>
      <c r="AD39" s="162">
        <v>10000</v>
      </c>
      <c r="AE39" s="163">
        <f t="shared" si="38"/>
        <v>110000</v>
      </c>
      <c r="AF39" s="24" t="s">
        <v>130</v>
      </c>
    </row>
    <row r="40" spans="1:32" ht="20.399999999999999" hidden="1" customHeight="1" x14ac:dyDescent="0.25">
      <c r="A40" s="1076"/>
      <c r="B40" s="1" t="s">
        <v>137</v>
      </c>
      <c r="C40" s="3" t="s">
        <v>59</v>
      </c>
      <c r="D40" s="3" t="s">
        <v>59</v>
      </c>
      <c r="E40" s="23">
        <f t="shared" si="36"/>
        <v>220000</v>
      </c>
      <c r="F40" s="23"/>
      <c r="G40" s="82">
        <f t="shared" si="39"/>
        <v>220000</v>
      </c>
      <c r="H40" s="179">
        <v>10000</v>
      </c>
      <c r="I40" s="179">
        <v>10000</v>
      </c>
      <c r="J40" s="162">
        <v>10000</v>
      </c>
      <c r="K40" s="162">
        <v>10000</v>
      </c>
      <c r="L40" s="162">
        <v>10000</v>
      </c>
      <c r="M40" s="162">
        <v>10000</v>
      </c>
      <c r="N40" s="162">
        <v>10000</v>
      </c>
      <c r="O40" s="162">
        <v>10000</v>
      </c>
      <c r="P40" s="162">
        <v>10000</v>
      </c>
      <c r="Q40" s="162">
        <v>10000</v>
      </c>
      <c r="R40" s="162">
        <v>10000</v>
      </c>
      <c r="S40" s="22">
        <f t="shared" si="37"/>
        <v>110000</v>
      </c>
      <c r="T40" s="162">
        <v>10000</v>
      </c>
      <c r="U40" s="162">
        <v>10000</v>
      </c>
      <c r="V40" s="162">
        <v>10000</v>
      </c>
      <c r="W40" s="162">
        <v>10000</v>
      </c>
      <c r="X40" s="162">
        <v>10000</v>
      </c>
      <c r="Y40" s="162">
        <v>10000</v>
      </c>
      <c r="Z40" s="162">
        <v>10000</v>
      </c>
      <c r="AA40" s="162">
        <v>10000</v>
      </c>
      <c r="AB40" s="162">
        <v>10000</v>
      </c>
      <c r="AC40" s="162">
        <v>10000</v>
      </c>
      <c r="AD40" s="162">
        <v>10000</v>
      </c>
      <c r="AE40" s="163">
        <f>SUM(T40:AD40)</f>
        <v>110000</v>
      </c>
      <c r="AF40" s="24" t="s">
        <v>130</v>
      </c>
    </row>
    <row r="41" spans="1:32" ht="19.95" hidden="1" customHeight="1" x14ac:dyDescent="0.25">
      <c r="A41" s="1076"/>
      <c r="B41" s="1" t="s">
        <v>139</v>
      </c>
      <c r="C41" s="3" t="s">
        <v>60</v>
      </c>
      <c r="D41" s="3" t="s">
        <v>60</v>
      </c>
      <c r="E41" s="23">
        <f t="shared" si="36"/>
        <v>121000</v>
      </c>
      <c r="F41" s="23"/>
      <c r="G41" s="82">
        <f t="shared" si="39"/>
        <v>121000</v>
      </c>
      <c r="H41" s="179">
        <v>5500</v>
      </c>
      <c r="I41" s="179">
        <v>5500</v>
      </c>
      <c r="J41" s="162">
        <v>5500</v>
      </c>
      <c r="K41" s="162">
        <v>5500</v>
      </c>
      <c r="L41" s="162">
        <v>5500</v>
      </c>
      <c r="M41" s="162">
        <v>5500</v>
      </c>
      <c r="N41" s="162">
        <v>5500</v>
      </c>
      <c r="O41" s="162">
        <v>5500</v>
      </c>
      <c r="P41" s="162">
        <v>5500</v>
      </c>
      <c r="Q41" s="162">
        <v>5500</v>
      </c>
      <c r="R41" s="162">
        <v>5500</v>
      </c>
      <c r="S41" s="22">
        <f t="shared" si="37"/>
        <v>60500</v>
      </c>
      <c r="T41" s="162">
        <v>5500</v>
      </c>
      <c r="U41" s="162">
        <v>5500</v>
      </c>
      <c r="V41" s="162">
        <v>5500</v>
      </c>
      <c r="W41" s="162">
        <v>5500</v>
      </c>
      <c r="X41" s="162">
        <v>5500</v>
      </c>
      <c r="Y41" s="162">
        <v>5500</v>
      </c>
      <c r="Z41" s="162">
        <v>5500</v>
      </c>
      <c r="AA41" s="162">
        <v>5500</v>
      </c>
      <c r="AB41" s="162">
        <v>5500</v>
      </c>
      <c r="AC41" s="162">
        <v>5500</v>
      </c>
      <c r="AD41" s="162">
        <v>5500</v>
      </c>
      <c r="AE41" s="163">
        <f>SUM(T41:AD41)</f>
        <v>60500</v>
      </c>
      <c r="AF41" s="24" t="s">
        <v>130</v>
      </c>
    </row>
    <row r="42" spans="1:32" ht="45" hidden="1" x14ac:dyDescent="0.25">
      <c r="A42" s="1076"/>
      <c r="B42" s="1" t="s">
        <v>141</v>
      </c>
      <c r="C42" s="3" t="s">
        <v>619</v>
      </c>
      <c r="D42" s="3" t="s">
        <v>619</v>
      </c>
      <c r="E42" s="23">
        <f t="shared" si="36"/>
        <v>176880</v>
      </c>
      <c r="F42" s="23"/>
      <c r="G42" s="82">
        <f t="shared" si="39"/>
        <v>176880</v>
      </c>
      <c r="H42" s="179">
        <v>8040</v>
      </c>
      <c r="I42" s="179">
        <v>8040</v>
      </c>
      <c r="J42" s="162">
        <v>8040</v>
      </c>
      <c r="K42" s="162">
        <v>8040</v>
      </c>
      <c r="L42" s="162">
        <v>8040</v>
      </c>
      <c r="M42" s="162">
        <v>8040</v>
      </c>
      <c r="N42" s="162">
        <v>8040</v>
      </c>
      <c r="O42" s="162">
        <v>8040</v>
      </c>
      <c r="P42" s="162">
        <v>8040</v>
      </c>
      <c r="Q42" s="162">
        <v>8040</v>
      </c>
      <c r="R42" s="162">
        <v>8040</v>
      </c>
      <c r="S42" s="22">
        <f t="shared" si="37"/>
        <v>88440</v>
      </c>
      <c r="T42" s="162">
        <v>8040</v>
      </c>
      <c r="U42" s="162">
        <v>8040</v>
      </c>
      <c r="V42" s="162">
        <v>8040</v>
      </c>
      <c r="W42" s="162">
        <v>8040</v>
      </c>
      <c r="X42" s="162">
        <v>8040</v>
      </c>
      <c r="Y42" s="162">
        <v>8040</v>
      </c>
      <c r="Z42" s="162">
        <v>8040</v>
      </c>
      <c r="AA42" s="162">
        <v>8040</v>
      </c>
      <c r="AB42" s="162">
        <v>8040</v>
      </c>
      <c r="AC42" s="162">
        <v>8040</v>
      </c>
      <c r="AD42" s="162">
        <v>8040</v>
      </c>
      <c r="AE42" s="163">
        <f t="shared" si="38"/>
        <v>88440</v>
      </c>
      <c r="AF42" s="24" t="s">
        <v>130</v>
      </c>
    </row>
    <row r="43" spans="1:32" ht="33" hidden="1" customHeight="1" x14ac:dyDescent="0.25">
      <c r="A43" s="1076"/>
      <c r="B43" s="1" t="s">
        <v>143</v>
      </c>
      <c r="C43" s="2" t="s">
        <v>61</v>
      </c>
      <c r="D43" s="2" t="s">
        <v>61</v>
      </c>
      <c r="E43" s="23">
        <f t="shared" si="36"/>
        <v>77000</v>
      </c>
      <c r="F43" s="23"/>
      <c r="G43" s="82">
        <f t="shared" si="39"/>
        <v>77000</v>
      </c>
      <c r="H43" s="179">
        <v>3500</v>
      </c>
      <c r="I43" s="179">
        <v>3500</v>
      </c>
      <c r="J43" s="162">
        <v>3500</v>
      </c>
      <c r="K43" s="162">
        <v>3500</v>
      </c>
      <c r="L43" s="162">
        <v>3500</v>
      </c>
      <c r="M43" s="162">
        <v>3500</v>
      </c>
      <c r="N43" s="162">
        <v>3500</v>
      </c>
      <c r="O43" s="162">
        <v>3500</v>
      </c>
      <c r="P43" s="162">
        <v>3500</v>
      </c>
      <c r="Q43" s="162">
        <v>3500</v>
      </c>
      <c r="R43" s="162">
        <v>3500</v>
      </c>
      <c r="S43" s="22">
        <f t="shared" si="37"/>
        <v>38500</v>
      </c>
      <c r="T43" s="162">
        <v>3500</v>
      </c>
      <c r="U43" s="162">
        <v>3500</v>
      </c>
      <c r="V43" s="162">
        <v>3500</v>
      </c>
      <c r="W43" s="162">
        <v>3500</v>
      </c>
      <c r="X43" s="162">
        <v>3500</v>
      </c>
      <c r="Y43" s="162">
        <v>3500</v>
      </c>
      <c r="Z43" s="162">
        <v>3500</v>
      </c>
      <c r="AA43" s="162">
        <v>3500</v>
      </c>
      <c r="AB43" s="162">
        <v>3500</v>
      </c>
      <c r="AC43" s="162">
        <v>3500</v>
      </c>
      <c r="AD43" s="162">
        <v>3500</v>
      </c>
      <c r="AE43" s="163">
        <f t="shared" si="38"/>
        <v>38500</v>
      </c>
      <c r="AF43" s="24" t="s">
        <v>130</v>
      </c>
    </row>
    <row r="44" spans="1:32" ht="32.25" hidden="1" customHeight="1" x14ac:dyDescent="0.25">
      <c r="A44" s="1076"/>
      <c r="B44" s="1" t="s">
        <v>144</v>
      </c>
      <c r="C44" s="2" t="s">
        <v>62</v>
      </c>
      <c r="D44" s="2" t="s">
        <v>62</v>
      </c>
      <c r="E44" s="23">
        <f t="shared" si="36"/>
        <v>121000</v>
      </c>
      <c r="F44" s="23"/>
      <c r="G44" s="82">
        <f t="shared" si="39"/>
        <v>121000</v>
      </c>
      <c r="H44" s="179">
        <v>5500</v>
      </c>
      <c r="I44" s="179">
        <v>5500</v>
      </c>
      <c r="J44" s="162">
        <v>5500</v>
      </c>
      <c r="K44" s="162">
        <v>5500</v>
      </c>
      <c r="L44" s="162">
        <v>5500</v>
      </c>
      <c r="M44" s="162">
        <v>5500</v>
      </c>
      <c r="N44" s="162">
        <v>5500</v>
      </c>
      <c r="O44" s="162">
        <v>5500</v>
      </c>
      <c r="P44" s="162">
        <v>5500</v>
      </c>
      <c r="Q44" s="162">
        <v>5500</v>
      </c>
      <c r="R44" s="162">
        <v>5500</v>
      </c>
      <c r="S44" s="22">
        <f t="shared" si="37"/>
        <v>60500</v>
      </c>
      <c r="T44" s="162">
        <v>5500</v>
      </c>
      <c r="U44" s="162">
        <v>5500</v>
      </c>
      <c r="V44" s="162">
        <v>5500</v>
      </c>
      <c r="W44" s="162">
        <v>5500</v>
      </c>
      <c r="X44" s="162">
        <v>5500</v>
      </c>
      <c r="Y44" s="162">
        <v>5500</v>
      </c>
      <c r="Z44" s="162">
        <v>5500</v>
      </c>
      <c r="AA44" s="162">
        <v>5500</v>
      </c>
      <c r="AB44" s="162">
        <v>5500</v>
      </c>
      <c r="AC44" s="162">
        <v>5500</v>
      </c>
      <c r="AD44" s="162">
        <v>5500</v>
      </c>
      <c r="AE44" s="163">
        <f t="shared" si="38"/>
        <v>60500</v>
      </c>
      <c r="AF44" s="24" t="s">
        <v>130</v>
      </c>
    </row>
    <row r="45" spans="1:32" ht="34.950000000000003" hidden="1" customHeight="1" x14ac:dyDescent="0.25">
      <c r="A45" s="1076"/>
      <c r="B45" s="1" t="s">
        <v>148</v>
      </c>
      <c r="C45" s="3" t="s">
        <v>618</v>
      </c>
      <c r="D45" s="3" t="s">
        <v>617</v>
      </c>
      <c r="E45" s="23">
        <f t="shared" si="36"/>
        <v>148760</v>
      </c>
      <c r="F45" s="23"/>
      <c r="G45" s="82">
        <f t="shared" si="39"/>
        <v>148760</v>
      </c>
      <c r="H45" s="162">
        <v>0</v>
      </c>
      <c r="I45" s="162">
        <v>0</v>
      </c>
      <c r="J45" s="162">
        <v>0</v>
      </c>
      <c r="K45" s="162">
        <v>4040</v>
      </c>
      <c r="L45" s="162">
        <v>8040</v>
      </c>
      <c r="M45" s="162">
        <v>8040</v>
      </c>
      <c r="N45" s="162">
        <v>8040</v>
      </c>
      <c r="O45" s="162">
        <v>8040</v>
      </c>
      <c r="P45" s="162">
        <v>8040</v>
      </c>
      <c r="Q45" s="162">
        <v>8040</v>
      </c>
      <c r="R45" s="162">
        <v>8040</v>
      </c>
      <c r="S45" s="22">
        <f t="shared" si="37"/>
        <v>60320</v>
      </c>
      <c r="T45" s="162">
        <v>8040</v>
      </c>
      <c r="U45" s="162">
        <v>8040</v>
      </c>
      <c r="V45" s="162">
        <v>8040</v>
      </c>
      <c r="W45" s="162">
        <v>8040</v>
      </c>
      <c r="X45" s="162">
        <v>8040</v>
      </c>
      <c r="Y45" s="162">
        <v>8040</v>
      </c>
      <c r="Z45" s="162">
        <v>8040</v>
      </c>
      <c r="AA45" s="162">
        <v>8040</v>
      </c>
      <c r="AB45" s="162">
        <v>8040</v>
      </c>
      <c r="AC45" s="162">
        <v>8040</v>
      </c>
      <c r="AD45" s="162">
        <v>8040</v>
      </c>
      <c r="AE45" s="163">
        <f t="shared" si="38"/>
        <v>88440</v>
      </c>
      <c r="AF45" s="24" t="s">
        <v>130</v>
      </c>
    </row>
    <row r="46" spans="1:32" ht="49.2" hidden="1" customHeight="1" x14ac:dyDescent="0.25">
      <c r="A46" s="1076"/>
      <c r="B46" s="1" t="s">
        <v>149</v>
      </c>
      <c r="C46" s="3" t="s">
        <v>63</v>
      </c>
      <c r="D46" s="3" t="s">
        <v>63</v>
      </c>
      <c r="E46" s="23">
        <f t="shared" si="36"/>
        <v>77000</v>
      </c>
      <c r="F46" s="23"/>
      <c r="G46" s="82">
        <f t="shared" si="39"/>
        <v>77000</v>
      </c>
      <c r="H46" s="179">
        <v>3500</v>
      </c>
      <c r="I46" s="179">
        <v>3500</v>
      </c>
      <c r="J46" s="162">
        <v>3500</v>
      </c>
      <c r="K46" s="162">
        <v>3500</v>
      </c>
      <c r="L46" s="162">
        <v>3500</v>
      </c>
      <c r="M46" s="162">
        <v>3500</v>
      </c>
      <c r="N46" s="162">
        <v>3500</v>
      </c>
      <c r="O46" s="162">
        <v>3500</v>
      </c>
      <c r="P46" s="162">
        <v>3500</v>
      </c>
      <c r="Q46" s="162">
        <v>3500</v>
      </c>
      <c r="R46" s="162">
        <v>3500</v>
      </c>
      <c r="S46" s="22">
        <f t="shared" si="37"/>
        <v>38500</v>
      </c>
      <c r="T46" s="162">
        <v>3500</v>
      </c>
      <c r="U46" s="162">
        <v>3500</v>
      </c>
      <c r="V46" s="162">
        <v>3500</v>
      </c>
      <c r="W46" s="162">
        <v>3500</v>
      </c>
      <c r="X46" s="162">
        <v>3500</v>
      </c>
      <c r="Y46" s="162">
        <v>3500</v>
      </c>
      <c r="Z46" s="162">
        <v>3500</v>
      </c>
      <c r="AA46" s="162">
        <v>3500</v>
      </c>
      <c r="AB46" s="162">
        <v>3500</v>
      </c>
      <c r="AC46" s="162">
        <v>3500</v>
      </c>
      <c r="AD46" s="162">
        <v>3500</v>
      </c>
      <c r="AE46" s="163">
        <f t="shared" si="38"/>
        <v>38500</v>
      </c>
      <c r="AF46" s="24" t="s">
        <v>130</v>
      </c>
    </row>
    <row r="47" spans="1:32" ht="45" hidden="1" x14ac:dyDescent="0.25">
      <c r="A47" s="1076"/>
      <c r="B47" s="1" t="s">
        <v>150</v>
      </c>
      <c r="C47" s="3" t="s">
        <v>64</v>
      </c>
      <c r="D47" s="3" t="s">
        <v>64</v>
      </c>
      <c r="E47" s="23">
        <f t="shared" si="36"/>
        <v>121000</v>
      </c>
      <c r="F47" s="23"/>
      <c r="G47" s="82">
        <f t="shared" si="39"/>
        <v>121000</v>
      </c>
      <c r="H47" s="179">
        <v>5500</v>
      </c>
      <c r="I47" s="179">
        <v>5500</v>
      </c>
      <c r="J47" s="162">
        <v>5500</v>
      </c>
      <c r="K47" s="162">
        <v>5500</v>
      </c>
      <c r="L47" s="162">
        <v>5500</v>
      </c>
      <c r="M47" s="162">
        <v>5500</v>
      </c>
      <c r="N47" s="162">
        <v>5500</v>
      </c>
      <c r="O47" s="162">
        <v>5500</v>
      </c>
      <c r="P47" s="162">
        <v>5500</v>
      </c>
      <c r="Q47" s="162">
        <v>5500</v>
      </c>
      <c r="R47" s="162">
        <v>5500</v>
      </c>
      <c r="S47" s="22">
        <f t="shared" si="37"/>
        <v>60500</v>
      </c>
      <c r="T47" s="162">
        <v>5500</v>
      </c>
      <c r="U47" s="162">
        <v>5500</v>
      </c>
      <c r="V47" s="162">
        <v>5500</v>
      </c>
      <c r="W47" s="162">
        <v>5500</v>
      </c>
      <c r="X47" s="162">
        <v>5500</v>
      </c>
      <c r="Y47" s="162">
        <v>5500</v>
      </c>
      <c r="Z47" s="162">
        <v>5500</v>
      </c>
      <c r="AA47" s="162">
        <v>5500</v>
      </c>
      <c r="AB47" s="162">
        <v>5500</v>
      </c>
      <c r="AC47" s="162">
        <v>5500</v>
      </c>
      <c r="AD47" s="162">
        <v>5500</v>
      </c>
      <c r="AE47" s="163">
        <f>SUM(T47:AD47)</f>
        <v>60500</v>
      </c>
      <c r="AF47" s="24" t="s">
        <v>130</v>
      </c>
    </row>
    <row r="48" spans="1:32" ht="48" hidden="1" customHeight="1" x14ac:dyDescent="0.25">
      <c r="A48" s="1076"/>
      <c r="B48" s="1" t="s">
        <v>151</v>
      </c>
      <c r="C48" s="3" t="s">
        <v>65</v>
      </c>
      <c r="D48" s="3" t="s">
        <v>65</v>
      </c>
      <c r="E48" s="23">
        <f t="shared" si="36"/>
        <v>77000</v>
      </c>
      <c r="F48" s="23"/>
      <c r="G48" s="82">
        <f t="shared" si="39"/>
        <v>77000</v>
      </c>
      <c r="H48" s="179">
        <v>3500</v>
      </c>
      <c r="I48" s="179">
        <v>3500</v>
      </c>
      <c r="J48" s="162">
        <v>3500</v>
      </c>
      <c r="K48" s="162">
        <v>3500</v>
      </c>
      <c r="L48" s="162">
        <v>3500</v>
      </c>
      <c r="M48" s="162">
        <v>3500</v>
      </c>
      <c r="N48" s="162">
        <v>3500</v>
      </c>
      <c r="O48" s="162">
        <v>3500</v>
      </c>
      <c r="P48" s="162">
        <v>3500</v>
      </c>
      <c r="Q48" s="162">
        <v>3500</v>
      </c>
      <c r="R48" s="162">
        <v>3500</v>
      </c>
      <c r="S48" s="22">
        <f t="shared" si="37"/>
        <v>38500</v>
      </c>
      <c r="T48" s="162">
        <v>3500</v>
      </c>
      <c r="U48" s="162">
        <v>3500</v>
      </c>
      <c r="V48" s="162">
        <v>3500</v>
      </c>
      <c r="W48" s="162">
        <v>3500</v>
      </c>
      <c r="X48" s="162">
        <v>3500</v>
      </c>
      <c r="Y48" s="162">
        <v>3500</v>
      </c>
      <c r="Z48" s="162">
        <v>3500</v>
      </c>
      <c r="AA48" s="162">
        <v>3500</v>
      </c>
      <c r="AB48" s="162">
        <v>3500</v>
      </c>
      <c r="AC48" s="162">
        <v>3500</v>
      </c>
      <c r="AD48" s="162">
        <v>3500</v>
      </c>
      <c r="AE48" s="163">
        <f t="shared" si="38"/>
        <v>38500</v>
      </c>
      <c r="AF48" s="24" t="s">
        <v>130</v>
      </c>
    </row>
    <row r="49" spans="1:32" ht="18.75" hidden="1" customHeight="1" x14ac:dyDescent="0.25">
      <c r="A49" s="1077"/>
      <c r="B49" s="401" t="s">
        <v>152</v>
      </c>
      <c r="C49" s="47" t="s">
        <v>66</v>
      </c>
      <c r="D49" s="47" t="s">
        <v>66</v>
      </c>
      <c r="E49" s="23">
        <f t="shared" si="36"/>
        <v>190000</v>
      </c>
      <c r="F49" s="23"/>
      <c r="G49" s="82">
        <f t="shared" si="39"/>
        <v>190000</v>
      </c>
      <c r="H49" s="162">
        <v>0</v>
      </c>
      <c r="I49" s="162">
        <v>0</v>
      </c>
      <c r="J49" s="162">
        <v>0</v>
      </c>
      <c r="K49" s="162">
        <v>10000</v>
      </c>
      <c r="L49" s="162">
        <v>10000</v>
      </c>
      <c r="M49" s="162">
        <v>10000</v>
      </c>
      <c r="N49" s="162">
        <v>10000</v>
      </c>
      <c r="O49" s="162">
        <v>10000</v>
      </c>
      <c r="P49" s="162">
        <v>10000</v>
      </c>
      <c r="Q49" s="162">
        <v>10000</v>
      </c>
      <c r="R49" s="162">
        <v>10000</v>
      </c>
      <c r="S49" s="22">
        <f t="shared" si="37"/>
        <v>80000</v>
      </c>
      <c r="T49" s="162">
        <v>10000</v>
      </c>
      <c r="U49" s="162">
        <v>10000</v>
      </c>
      <c r="V49" s="162">
        <v>10000</v>
      </c>
      <c r="W49" s="162">
        <v>10000</v>
      </c>
      <c r="X49" s="162">
        <v>10000</v>
      </c>
      <c r="Y49" s="162">
        <v>10000</v>
      </c>
      <c r="Z49" s="162">
        <v>10000</v>
      </c>
      <c r="AA49" s="162">
        <v>10000</v>
      </c>
      <c r="AB49" s="162">
        <v>10000</v>
      </c>
      <c r="AC49" s="162">
        <v>10000</v>
      </c>
      <c r="AD49" s="162">
        <v>10000</v>
      </c>
      <c r="AE49" s="163">
        <f>SUM(T49:AD49)</f>
        <v>110000</v>
      </c>
      <c r="AF49" s="24" t="s">
        <v>130</v>
      </c>
    </row>
    <row r="50" spans="1:32" s="181" customFormat="1" ht="30.75" hidden="1" customHeight="1" x14ac:dyDescent="0.25">
      <c r="A50" s="1178" t="s">
        <v>790</v>
      </c>
      <c r="B50" s="1179"/>
      <c r="C50" s="1180"/>
      <c r="D50" s="180"/>
      <c r="E50" s="27">
        <f>+E51</f>
        <v>0</v>
      </c>
      <c r="F50" s="27">
        <f>+F51</f>
        <v>180000</v>
      </c>
      <c r="G50" s="27">
        <f t="shared" ref="G50:G55" si="40">+E50+F50</f>
        <v>180000</v>
      </c>
      <c r="H50" s="27">
        <f>+H51</f>
        <v>0</v>
      </c>
      <c r="I50" s="27">
        <f t="shared" ref="I50:AE50" si="41">+I51</f>
        <v>7375</v>
      </c>
      <c r="J50" s="27">
        <f t="shared" si="41"/>
        <v>82625</v>
      </c>
      <c r="K50" s="27">
        <f t="shared" si="41"/>
        <v>90000</v>
      </c>
      <c r="L50" s="27">
        <f t="shared" si="41"/>
        <v>0</v>
      </c>
      <c r="M50" s="27">
        <f t="shared" si="41"/>
        <v>0</v>
      </c>
      <c r="N50" s="27">
        <f t="shared" si="41"/>
        <v>0</v>
      </c>
      <c r="O50" s="27">
        <f t="shared" si="41"/>
        <v>0</v>
      </c>
      <c r="P50" s="27">
        <f t="shared" si="41"/>
        <v>0</v>
      </c>
      <c r="Q50" s="27">
        <f t="shared" si="41"/>
        <v>0</v>
      </c>
      <c r="R50" s="27">
        <f t="shared" si="41"/>
        <v>0</v>
      </c>
      <c r="S50" s="27">
        <f t="shared" si="41"/>
        <v>180000</v>
      </c>
      <c r="T50" s="27">
        <f t="shared" si="41"/>
        <v>0</v>
      </c>
      <c r="U50" s="27">
        <f t="shared" si="41"/>
        <v>0</v>
      </c>
      <c r="V50" s="27">
        <f t="shared" si="41"/>
        <v>0</v>
      </c>
      <c r="W50" s="27">
        <f t="shared" si="41"/>
        <v>0</v>
      </c>
      <c r="X50" s="27">
        <f t="shared" si="41"/>
        <v>0</v>
      </c>
      <c r="Y50" s="27">
        <f t="shared" si="41"/>
        <v>0</v>
      </c>
      <c r="Z50" s="27">
        <f t="shared" si="41"/>
        <v>0</v>
      </c>
      <c r="AA50" s="27">
        <f t="shared" si="41"/>
        <v>0</v>
      </c>
      <c r="AB50" s="27">
        <f t="shared" si="41"/>
        <v>0</v>
      </c>
      <c r="AC50" s="27">
        <f t="shared" si="41"/>
        <v>0</v>
      </c>
      <c r="AD50" s="27">
        <f t="shared" si="41"/>
        <v>0</v>
      </c>
      <c r="AE50" s="27">
        <f t="shared" si="41"/>
        <v>0</v>
      </c>
      <c r="AF50" s="27"/>
    </row>
    <row r="51" spans="1:32" s="181" customFormat="1" ht="30.75" hidden="1" customHeight="1" x14ac:dyDescent="0.25">
      <c r="A51" s="1181" t="s">
        <v>791</v>
      </c>
      <c r="B51" s="172"/>
      <c r="C51" s="172"/>
      <c r="D51" s="182"/>
      <c r="E51" s="28">
        <f>SUM(E52:E55)</f>
        <v>0</v>
      </c>
      <c r="F51" s="28">
        <f>SUM(F52:F55)</f>
        <v>180000</v>
      </c>
      <c r="G51" s="28">
        <f t="shared" si="40"/>
        <v>180000</v>
      </c>
      <c r="H51" s="28">
        <f>SUM(H52:H55)</f>
        <v>0</v>
      </c>
      <c r="I51" s="28">
        <f t="shared" ref="I51:AE51" si="42">SUM(I52:I55)</f>
        <v>7375</v>
      </c>
      <c r="J51" s="28">
        <f t="shared" si="42"/>
        <v>82625</v>
      </c>
      <c r="K51" s="28">
        <f t="shared" si="42"/>
        <v>90000</v>
      </c>
      <c r="L51" s="28">
        <f t="shared" si="42"/>
        <v>0</v>
      </c>
      <c r="M51" s="28">
        <f t="shared" si="42"/>
        <v>0</v>
      </c>
      <c r="N51" s="28">
        <f t="shared" si="42"/>
        <v>0</v>
      </c>
      <c r="O51" s="28">
        <f t="shared" si="42"/>
        <v>0</v>
      </c>
      <c r="P51" s="28">
        <f t="shared" si="42"/>
        <v>0</v>
      </c>
      <c r="Q51" s="28">
        <f t="shared" si="42"/>
        <v>0</v>
      </c>
      <c r="R51" s="28">
        <f t="shared" si="42"/>
        <v>0</v>
      </c>
      <c r="S51" s="28">
        <f t="shared" si="42"/>
        <v>180000</v>
      </c>
      <c r="T51" s="28">
        <f t="shared" si="42"/>
        <v>0</v>
      </c>
      <c r="U51" s="28">
        <f t="shared" si="42"/>
        <v>0</v>
      </c>
      <c r="V51" s="28">
        <f t="shared" si="42"/>
        <v>0</v>
      </c>
      <c r="W51" s="28">
        <f t="shared" si="42"/>
        <v>0</v>
      </c>
      <c r="X51" s="28">
        <f t="shared" si="42"/>
        <v>0</v>
      </c>
      <c r="Y51" s="28">
        <f t="shared" si="42"/>
        <v>0</v>
      </c>
      <c r="Z51" s="28">
        <f t="shared" si="42"/>
        <v>0</v>
      </c>
      <c r="AA51" s="28">
        <f t="shared" si="42"/>
        <v>0</v>
      </c>
      <c r="AB51" s="28">
        <f t="shared" si="42"/>
        <v>0</v>
      </c>
      <c r="AC51" s="28">
        <f t="shared" si="42"/>
        <v>0</v>
      </c>
      <c r="AD51" s="28">
        <f t="shared" si="42"/>
        <v>0</v>
      </c>
      <c r="AE51" s="28">
        <f t="shared" si="42"/>
        <v>0</v>
      </c>
      <c r="AF51" s="28">
        <f>SUM(AF52:AF55)</f>
        <v>0</v>
      </c>
    </row>
    <row r="52" spans="1:32" ht="25.5" hidden="1" customHeight="1" x14ac:dyDescent="0.25">
      <c r="A52" s="1182"/>
      <c r="B52" s="60" t="s">
        <v>2</v>
      </c>
      <c r="C52" s="64" t="s">
        <v>22</v>
      </c>
      <c r="D52" s="64" t="s">
        <v>22</v>
      </c>
      <c r="E52" s="23"/>
      <c r="F52" s="23">
        <f>+S52+AE52</f>
        <v>20000</v>
      </c>
      <c r="G52" s="82">
        <f t="shared" si="40"/>
        <v>20000</v>
      </c>
      <c r="H52" s="162">
        <v>0</v>
      </c>
      <c r="I52" s="162"/>
      <c r="J52" s="61"/>
      <c r="K52" s="61">
        <v>20000</v>
      </c>
      <c r="L52" s="162"/>
      <c r="M52" s="162"/>
      <c r="N52" s="162"/>
      <c r="O52" s="162"/>
      <c r="P52" s="162"/>
      <c r="Q52" s="162"/>
      <c r="R52" s="162"/>
      <c r="S52" s="22">
        <f>SUM(H52:R52)</f>
        <v>20000</v>
      </c>
      <c r="T52" s="162"/>
      <c r="U52" s="162">
        <v>0</v>
      </c>
      <c r="V52" s="162"/>
      <c r="W52" s="162"/>
      <c r="X52" s="162"/>
      <c r="Y52" s="162"/>
      <c r="Z52" s="162"/>
      <c r="AA52" s="162"/>
      <c r="AB52" s="162"/>
      <c r="AC52" s="162"/>
      <c r="AD52" s="162"/>
      <c r="AE52" s="163">
        <f>SUM(T52:AD52)</f>
        <v>0</v>
      </c>
      <c r="AF52" s="24" t="s">
        <v>130</v>
      </c>
    </row>
    <row r="53" spans="1:32" ht="31.5" hidden="1" customHeight="1" x14ac:dyDescent="0.25">
      <c r="A53" s="1182"/>
      <c r="B53" s="63" t="s">
        <v>3</v>
      </c>
      <c r="C53" s="64" t="s">
        <v>23</v>
      </c>
      <c r="D53" s="64" t="s">
        <v>23</v>
      </c>
      <c r="E53" s="23"/>
      <c r="F53" s="23">
        <f>+S53+AE53</f>
        <v>135000</v>
      </c>
      <c r="G53" s="82">
        <f t="shared" si="40"/>
        <v>135000</v>
      </c>
      <c r="H53" s="162"/>
      <c r="I53" s="715">
        <v>7375</v>
      </c>
      <c r="J53" s="714">
        <v>82625</v>
      </c>
      <c r="K53" s="61">
        <v>45000</v>
      </c>
      <c r="L53" s="162"/>
      <c r="M53" s="162"/>
      <c r="N53" s="162"/>
      <c r="O53" s="162"/>
      <c r="P53" s="162"/>
      <c r="Q53" s="162"/>
      <c r="R53" s="162"/>
      <c r="S53" s="22">
        <f>SUM(H53:R53)</f>
        <v>135000</v>
      </c>
      <c r="T53" s="162"/>
      <c r="U53" s="162"/>
      <c r="V53" s="162"/>
      <c r="W53" s="162"/>
      <c r="X53" s="162"/>
      <c r="Y53" s="162"/>
      <c r="Z53" s="162"/>
      <c r="AA53" s="162"/>
      <c r="AB53" s="162"/>
      <c r="AC53" s="162"/>
      <c r="AD53" s="162"/>
      <c r="AE53" s="163">
        <f>SUM(T53:AD53)</f>
        <v>0</v>
      </c>
      <c r="AF53" s="24"/>
    </row>
    <row r="54" spans="1:32" ht="42.75" hidden="1" customHeight="1" x14ac:dyDescent="0.25">
      <c r="A54" s="1182"/>
      <c r="B54" s="63" t="s">
        <v>4</v>
      </c>
      <c r="C54" s="64" t="s">
        <v>25</v>
      </c>
      <c r="D54" s="64" t="s">
        <v>25</v>
      </c>
      <c r="E54" s="23"/>
      <c r="F54" s="23">
        <f>+S54+AE54</f>
        <v>10000</v>
      </c>
      <c r="G54" s="82">
        <f t="shared" si="40"/>
        <v>10000</v>
      </c>
      <c r="H54" s="162"/>
      <c r="I54" s="162"/>
      <c r="J54" s="61"/>
      <c r="K54" s="61">
        <v>10000</v>
      </c>
      <c r="L54" s="162"/>
      <c r="M54" s="162"/>
      <c r="N54" s="162"/>
      <c r="O54" s="162"/>
      <c r="P54" s="162"/>
      <c r="Q54" s="162"/>
      <c r="R54" s="162"/>
      <c r="S54" s="22">
        <f>SUM(H54:R54)</f>
        <v>10000</v>
      </c>
      <c r="T54" s="162"/>
      <c r="U54" s="162"/>
      <c r="V54" s="162"/>
      <c r="W54" s="162"/>
      <c r="X54" s="162"/>
      <c r="Y54" s="162"/>
      <c r="Z54" s="162"/>
      <c r="AA54" s="162"/>
      <c r="AB54" s="162"/>
      <c r="AC54" s="162"/>
      <c r="AD54" s="162"/>
      <c r="AE54" s="163">
        <f>SUM(T54:AD54)</f>
        <v>0</v>
      </c>
      <c r="AF54" s="24"/>
    </row>
    <row r="55" spans="1:32" ht="57.6" hidden="1" customHeight="1" x14ac:dyDescent="0.25">
      <c r="A55" s="1183"/>
      <c r="B55" s="63" t="s">
        <v>8</v>
      </c>
      <c r="C55" s="64" t="s">
        <v>591</v>
      </c>
      <c r="D55" s="64" t="s">
        <v>24</v>
      </c>
      <c r="E55" s="23"/>
      <c r="F55" s="23">
        <f>+S55+AE55</f>
        <v>15000</v>
      </c>
      <c r="G55" s="82">
        <f t="shared" si="40"/>
        <v>15000</v>
      </c>
      <c r="H55" s="162"/>
      <c r="I55" s="162"/>
      <c r="J55" s="73"/>
      <c r="K55" s="73">
        <v>15000</v>
      </c>
      <c r="L55" s="162"/>
      <c r="M55" s="162"/>
      <c r="N55" s="162"/>
      <c r="O55" s="162"/>
      <c r="P55" s="162"/>
      <c r="Q55" s="162"/>
      <c r="R55" s="162"/>
      <c r="S55" s="22">
        <f>SUM(H55:R55)</f>
        <v>15000</v>
      </c>
      <c r="T55" s="162"/>
      <c r="U55" s="162"/>
      <c r="V55" s="162"/>
      <c r="W55" s="162"/>
      <c r="X55" s="162"/>
      <c r="Y55" s="162"/>
      <c r="Z55" s="162"/>
      <c r="AA55" s="162"/>
      <c r="AB55" s="162"/>
      <c r="AC55" s="162"/>
      <c r="AD55" s="162"/>
      <c r="AE55" s="163">
        <f>SUM(T55:AD55)</f>
        <v>0</v>
      </c>
      <c r="AF55" s="24"/>
    </row>
    <row r="56" spans="1:32" s="171" customFormat="1" ht="37.5" customHeight="1" x14ac:dyDescent="0.25">
      <c r="A56" s="147" t="s">
        <v>0</v>
      </c>
      <c r="B56" s="167"/>
      <c r="C56" s="168"/>
      <c r="D56" s="169"/>
      <c r="E56" s="170">
        <f>+E58</f>
        <v>2921640.6</v>
      </c>
      <c r="F56" s="170">
        <f t="shared" ref="F56:AE56" si="43">+F58</f>
        <v>0</v>
      </c>
      <c r="G56" s="170">
        <f t="shared" si="43"/>
        <v>2921640.6</v>
      </c>
      <c r="H56" s="170">
        <f t="shared" si="43"/>
        <v>85567.06</v>
      </c>
      <c r="I56" s="170">
        <f t="shared" si="43"/>
        <v>114755.89</v>
      </c>
      <c r="J56" s="170">
        <f t="shared" si="43"/>
        <v>208414.6</v>
      </c>
      <c r="K56" s="170">
        <f t="shared" si="43"/>
        <v>136974</v>
      </c>
      <c r="L56" s="170">
        <f t="shared" si="43"/>
        <v>90974</v>
      </c>
      <c r="M56" s="170">
        <f>+M58</f>
        <v>117974</v>
      </c>
      <c r="N56" s="170">
        <f t="shared" si="43"/>
        <v>96274</v>
      </c>
      <c r="O56" s="170">
        <f t="shared" si="43"/>
        <v>174201.09</v>
      </c>
      <c r="P56" s="170">
        <f t="shared" si="43"/>
        <v>119274</v>
      </c>
      <c r="Q56" s="170">
        <f t="shared" si="43"/>
        <v>155626.04999999999</v>
      </c>
      <c r="R56" s="170">
        <f t="shared" si="43"/>
        <v>145816.91</v>
      </c>
      <c r="S56" s="170">
        <f>+S58</f>
        <v>1445851.6</v>
      </c>
      <c r="T56" s="170">
        <f t="shared" si="43"/>
        <v>79399</v>
      </c>
      <c r="U56" s="170">
        <f t="shared" si="43"/>
        <v>216399</v>
      </c>
      <c r="V56" s="170">
        <f t="shared" si="43"/>
        <v>124399</v>
      </c>
      <c r="W56" s="170">
        <f t="shared" si="43"/>
        <v>104399</v>
      </c>
      <c r="X56" s="170">
        <f>+X58</f>
        <v>158799</v>
      </c>
      <c r="Y56" s="170">
        <f t="shared" si="43"/>
        <v>114399</v>
      </c>
      <c r="Z56" s="170">
        <f t="shared" si="43"/>
        <v>124399</v>
      </c>
      <c r="AA56" s="170">
        <f t="shared" si="43"/>
        <v>138399</v>
      </c>
      <c r="AB56" s="170">
        <f t="shared" si="43"/>
        <v>128399</v>
      </c>
      <c r="AC56" s="170">
        <f t="shared" si="43"/>
        <v>165399</v>
      </c>
      <c r="AD56" s="170">
        <f>+AD58</f>
        <v>121399</v>
      </c>
      <c r="AE56" s="170">
        <f t="shared" si="43"/>
        <v>1475789</v>
      </c>
      <c r="AF56" s="170"/>
    </row>
    <row r="57" spans="1:32" ht="30.75" customHeight="1" x14ac:dyDescent="0.25">
      <c r="A57" s="1162" t="s">
        <v>1</v>
      </c>
      <c r="B57" s="1163"/>
      <c r="C57" s="1163"/>
      <c r="D57" s="1164"/>
      <c r="E57" s="19">
        <f>+T57+G57</f>
        <v>0</v>
      </c>
      <c r="F57" s="19">
        <f>+U57+E57</f>
        <v>0</v>
      </c>
      <c r="G57" s="19"/>
      <c r="H57" s="154"/>
      <c r="I57" s="154"/>
      <c r="J57" s="154"/>
      <c r="K57" s="154"/>
      <c r="L57" s="154"/>
      <c r="M57" s="154"/>
      <c r="N57" s="154"/>
      <c r="O57" s="154"/>
      <c r="P57" s="154"/>
      <c r="Q57" s="154"/>
      <c r="R57" s="154"/>
      <c r="S57" s="65"/>
      <c r="T57" s="154"/>
      <c r="U57" s="154"/>
      <c r="V57" s="154"/>
      <c r="W57" s="154"/>
      <c r="X57" s="154"/>
      <c r="Y57" s="154"/>
      <c r="Z57" s="154"/>
      <c r="AA57" s="154"/>
      <c r="AB57" s="154"/>
      <c r="AC57" s="154"/>
      <c r="AD57" s="154"/>
      <c r="AE57" s="19"/>
      <c r="AF57" s="26"/>
    </row>
    <row r="58" spans="1:32" s="58" customFormat="1" ht="30.75" customHeight="1" x14ac:dyDescent="0.3">
      <c r="A58" s="1165" t="s">
        <v>153</v>
      </c>
      <c r="B58" s="1165"/>
      <c r="C58" s="1165"/>
      <c r="D58" s="155"/>
      <c r="E58" s="20">
        <f>+E59+E64+E85+E91+E94</f>
        <v>2921640.6</v>
      </c>
      <c r="F58" s="20">
        <f>+F59+F64+F85+F91+F94</f>
        <v>0</v>
      </c>
      <c r="G58" s="20">
        <f t="shared" ref="G58:G65" si="44">+E58+F58</f>
        <v>2921640.6</v>
      </c>
      <c r="H58" s="20">
        <f>+H59+H64+H85+H91+H94</f>
        <v>85567.06</v>
      </c>
      <c r="I58" s="20">
        <f t="shared" ref="I58:AE58" si="45">+I59+I64+I85+I91+I94</f>
        <v>114755.89</v>
      </c>
      <c r="J58" s="20">
        <f t="shared" si="45"/>
        <v>208414.6</v>
      </c>
      <c r="K58" s="20">
        <f t="shared" si="45"/>
        <v>136974</v>
      </c>
      <c r="L58" s="20">
        <f t="shared" si="45"/>
        <v>90974</v>
      </c>
      <c r="M58" s="20">
        <f t="shared" si="45"/>
        <v>117974</v>
      </c>
      <c r="N58" s="20">
        <f t="shared" si="45"/>
        <v>96274</v>
      </c>
      <c r="O58" s="20">
        <f t="shared" si="45"/>
        <v>174201.09</v>
      </c>
      <c r="P58" s="20">
        <f t="shared" si="45"/>
        <v>119274</v>
      </c>
      <c r="Q58" s="20">
        <f t="shared" si="45"/>
        <v>155626.04999999999</v>
      </c>
      <c r="R58" s="20">
        <f t="shared" si="45"/>
        <v>145816.91</v>
      </c>
      <c r="S58" s="20">
        <f t="shared" si="45"/>
        <v>1445851.6</v>
      </c>
      <c r="T58" s="20">
        <f t="shared" si="45"/>
        <v>79399</v>
      </c>
      <c r="U58" s="20">
        <f t="shared" si="45"/>
        <v>216399</v>
      </c>
      <c r="V58" s="20">
        <f t="shared" si="45"/>
        <v>124399</v>
      </c>
      <c r="W58" s="20">
        <f t="shared" si="45"/>
        <v>104399</v>
      </c>
      <c r="X58" s="20">
        <f t="shared" si="45"/>
        <v>158799</v>
      </c>
      <c r="Y58" s="20">
        <f t="shared" si="45"/>
        <v>114399</v>
      </c>
      <c r="Z58" s="20">
        <f t="shared" si="45"/>
        <v>124399</v>
      </c>
      <c r="AA58" s="20">
        <f t="shared" si="45"/>
        <v>138399</v>
      </c>
      <c r="AB58" s="20">
        <f t="shared" si="45"/>
        <v>128399</v>
      </c>
      <c r="AC58" s="20">
        <f t="shared" si="45"/>
        <v>165399</v>
      </c>
      <c r="AD58" s="20">
        <f t="shared" si="45"/>
        <v>121399</v>
      </c>
      <c r="AE58" s="20">
        <f t="shared" si="45"/>
        <v>1475789</v>
      </c>
      <c r="AF58" s="20"/>
    </row>
    <row r="59" spans="1:32" s="58" customFormat="1" ht="30.75" customHeight="1" x14ac:dyDescent="0.3">
      <c r="A59" s="1075" t="s">
        <v>379</v>
      </c>
      <c r="B59" s="172"/>
      <c r="C59" s="172"/>
      <c r="D59" s="173"/>
      <c r="E59" s="21">
        <f>SUM(E60)</f>
        <v>869000</v>
      </c>
      <c r="F59" s="21">
        <f>SUM(F60)</f>
        <v>0</v>
      </c>
      <c r="G59" s="21">
        <f t="shared" si="44"/>
        <v>869000</v>
      </c>
      <c r="H59" s="21">
        <f>SUM(H60)</f>
        <v>39500</v>
      </c>
      <c r="I59" s="21">
        <f t="shared" ref="I59:AE59" si="46">SUM(I60)</f>
        <v>39500</v>
      </c>
      <c r="J59" s="21">
        <f t="shared" si="46"/>
        <v>39500</v>
      </c>
      <c r="K59" s="21">
        <f t="shared" si="46"/>
        <v>39500</v>
      </c>
      <c r="L59" s="21">
        <f t="shared" si="46"/>
        <v>39500</v>
      </c>
      <c r="M59" s="21">
        <f t="shared" si="46"/>
        <v>39500</v>
      </c>
      <c r="N59" s="21">
        <f t="shared" si="46"/>
        <v>39500</v>
      </c>
      <c r="O59" s="21">
        <f t="shared" si="46"/>
        <v>39500</v>
      </c>
      <c r="P59" s="21">
        <f t="shared" si="46"/>
        <v>39500</v>
      </c>
      <c r="Q59" s="21">
        <f t="shared" si="46"/>
        <v>39500</v>
      </c>
      <c r="R59" s="21">
        <f t="shared" si="46"/>
        <v>39500</v>
      </c>
      <c r="S59" s="21">
        <f t="shared" si="46"/>
        <v>434500</v>
      </c>
      <c r="T59" s="21">
        <f t="shared" si="46"/>
        <v>39500</v>
      </c>
      <c r="U59" s="21">
        <f t="shared" si="46"/>
        <v>39500</v>
      </c>
      <c r="V59" s="21">
        <f t="shared" si="46"/>
        <v>39500</v>
      </c>
      <c r="W59" s="21">
        <f t="shared" si="46"/>
        <v>39500</v>
      </c>
      <c r="X59" s="21">
        <f t="shared" si="46"/>
        <v>39500</v>
      </c>
      <c r="Y59" s="21">
        <f t="shared" si="46"/>
        <v>39500</v>
      </c>
      <c r="Z59" s="21">
        <f t="shared" si="46"/>
        <v>39500</v>
      </c>
      <c r="AA59" s="21">
        <f t="shared" si="46"/>
        <v>39500</v>
      </c>
      <c r="AB59" s="21">
        <f t="shared" si="46"/>
        <v>39500</v>
      </c>
      <c r="AC59" s="21">
        <f t="shared" si="46"/>
        <v>39500</v>
      </c>
      <c r="AD59" s="21">
        <f t="shared" si="46"/>
        <v>39500</v>
      </c>
      <c r="AE59" s="21">
        <f t="shared" si="46"/>
        <v>434500</v>
      </c>
      <c r="AF59" s="21"/>
    </row>
    <row r="60" spans="1:32" s="58" customFormat="1" ht="21" customHeight="1" x14ac:dyDescent="0.3">
      <c r="A60" s="1076"/>
      <c r="B60" s="387"/>
      <c r="C60" s="387"/>
      <c r="D60" s="165"/>
      <c r="E60" s="25">
        <f>SUM(E61:E63)</f>
        <v>869000</v>
      </c>
      <c r="F60" s="25">
        <f>SUM(F61:F63)</f>
        <v>0</v>
      </c>
      <c r="G60" s="25">
        <f t="shared" si="44"/>
        <v>869000</v>
      </c>
      <c r="H60" s="25">
        <f>SUM(H61:H63)</f>
        <v>39500</v>
      </c>
      <c r="I60" s="25">
        <f t="shared" ref="I60:R60" si="47">SUM(I61:I63)</f>
        <v>39500</v>
      </c>
      <c r="J60" s="25">
        <f t="shared" si="47"/>
        <v>39500</v>
      </c>
      <c r="K60" s="25">
        <f t="shared" si="47"/>
        <v>39500</v>
      </c>
      <c r="L60" s="25">
        <f t="shared" si="47"/>
        <v>39500</v>
      </c>
      <c r="M60" s="25">
        <f t="shared" si="47"/>
        <v>39500</v>
      </c>
      <c r="N60" s="25">
        <f t="shared" si="47"/>
        <v>39500</v>
      </c>
      <c r="O60" s="25">
        <f t="shared" si="47"/>
        <v>39500</v>
      </c>
      <c r="P60" s="25">
        <f t="shared" si="47"/>
        <v>39500</v>
      </c>
      <c r="Q60" s="25">
        <f t="shared" si="47"/>
        <v>39500</v>
      </c>
      <c r="R60" s="25">
        <f t="shared" si="47"/>
        <v>39500</v>
      </c>
      <c r="S60" s="25">
        <f>SUM(S61:S63)</f>
        <v>434500</v>
      </c>
      <c r="T60" s="25">
        <f>SUM(T61:T63)</f>
        <v>39500</v>
      </c>
      <c r="U60" s="25">
        <f t="shared" ref="U60:AD60" si="48">SUM(U61:U63)</f>
        <v>39500</v>
      </c>
      <c r="V60" s="25">
        <f t="shared" si="48"/>
        <v>39500</v>
      </c>
      <c r="W60" s="25">
        <f t="shared" si="48"/>
        <v>39500</v>
      </c>
      <c r="X60" s="25">
        <f t="shared" si="48"/>
        <v>39500</v>
      </c>
      <c r="Y60" s="25">
        <f t="shared" si="48"/>
        <v>39500</v>
      </c>
      <c r="Z60" s="25">
        <f t="shared" si="48"/>
        <v>39500</v>
      </c>
      <c r="AA60" s="25">
        <f t="shared" si="48"/>
        <v>39500</v>
      </c>
      <c r="AB60" s="25">
        <f t="shared" si="48"/>
        <v>39500</v>
      </c>
      <c r="AC60" s="25">
        <f t="shared" si="48"/>
        <v>39500</v>
      </c>
      <c r="AD60" s="25">
        <f t="shared" si="48"/>
        <v>39500</v>
      </c>
      <c r="AE60" s="25">
        <f>SUM(AE61:AE63)</f>
        <v>434500</v>
      </c>
      <c r="AF60" s="25"/>
    </row>
    <row r="61" spans="1:32" ht="24" customHeight="1" x14ac:dyDescent="0.3">
      <c r="A61" s="1076"/>
      <c r="B61" s="378" t="s">
        <v>2</v>
      </c>
      <c r="C61" s="4" t="s">
        <v>81</v>
      </c>
      <c r="D61" s="2" t="s">
        <v>81</v>
      </c>
      <c r="E61" s="23">
        <f>+S61+AE61</f>
        <v>286000</v>
      </c>
      <c r="F61" s="23"/>
      <c r="G61" s="82">
        <f t="shared" si="44"/>
        <v>286000</v>
      </c>
      <c r="H61" s="179">
        <v>13000</v>
      </c>
      <c r="I61" s="179">
        <v>13000</v>
      </c>
      <c r="J61" s="162">
        <v>13000</v>
      </c>
      <c r="K61" s="162">
        <v>13000</v>
      </c>
      <c r="L61" s="162">
        <v>13000</v>
      </c>
      <c r="M61" s="162">
        <v>13000</v>
      </c>
      <c r="N61" s="162">
        <v>13000</v>
      </c>
      <c r="O61" s="162">
        <v>13000</v>
      </c>
      <c r="P61" s="162">
        <v>13000</v>
      </c>
      <c r="Q61" s="162">
        <v>13000</v>
      </c>
      <c r="R61" s="162">
        <v>13000</v>
      </c>
      <c r="S61" s="22">
        <f>SUM(H61:R61)</f>
        <v>143000</v>
      </c>
      <c r="T61" s="162">
        <v>13000</v>
      </c>
      <c r="U61" s="162">
        <v>13000</v>
      </c>
      <c r="V61" s="162">
        <v>13000</v>
      </c>
      <c r="W61" s="162">
        <v>13000</v>
      </c>
      <c r="X61" s="162">
        <v>13000</v>
      </c>
      <c r="Y61" s="162">
        <v>13000</v>
      </c>
      <c r="Z61" s="162">
        <v>13000</v>
      </c>
      <c r="AA61" s="162">
        <v>13000</v>
      </c>
      <c r="AB61" s="162">
        <v>13000</v>
      </c>
      <c r="AC61" s="162">
        <v>13000</v>
      </c>
      <c r="AD61" s="162">
        <v>13000</v>
      </c>
      <c r="AE61" s="163">
        <f>SUM(T61:AD61)</f>
        <v>143000</v>
      </c>
      <c r="AF61" s="24" t="s">
        <v>130</v>
      </c>
    </row>
    <row r="62" spans="1:32" ht="29.25" customHeight="1" x14ac:dyDescent="0.3">
      <c r="A62" s="1076"/>
      <c r="B62" s="378" t="s">
        <v>3</v>
      </c>
      <c r="C62" s="3" t="s">
        <v>82</v>
      </c>
      <c r="D62" s="2" t="s">
        <v>154</v>
      </c>
      <c r="E62" s="23">
        <f>+S62+AE62</f>
        <v>121000</v>
      </c>
      <c r="F62" s="23"/>
      <c r="G62" s="82">
        <f t="shared" si="44"/>
        <v>121000</v>
      </c>
      <c r="H62" s="179">
        <v>5500</v>
      </c>
      <c r="I62" s="179">
        <v>5500</v>
      </c>
      <c r="J62" s="162">
        <v>5500</v>
      </c>
      <c r="K62" s="162">
        <v>5500</v>
      </c>
      <c r="L62" s="162">
        <v>5500</v>
      </c>
      <c r="M62" s="162">
        <v>5500</v>
      </c>
      <c r="N62" s="162">
        <v>5500</v>
      </c>
      <c r="O62" s="162">
        <v>5500</v>
      </c>
      <c r="P62" s="162">
        <v>5500</v>
      </c>
      <c r="Q62" s="162">
        <v>5500</v>
      </c>
      <c r="R62" s="162">
        <v>5500</v>
      </c>
      <c r="S62" s="22">
        <f>SUM(H62:R62)</f>
        <v>60500</v>
      </c>
      <c r="T62" s="162">
        <v>5500</v>
      </c>
      <c r="U62" s="162">
        <v>5500</v>
      </c>
      <c r="V62" s="162">
        <v>5500</v>
      </c>
      <c r="W62" s="162">
        <v>5500</v>
      </c>
      <c r="X62" s="162">
        <v>5500</v>
      </c>
      <c r="Y62" s="162">
        <v>5500</v>
      </c>
      <c r="Z62" s="162">
        <v>5500</v>
      </c>
      <c r="AA62" s="162">
        <v>5500</v>
      </c>
      <c r="AB62" s="162">
        <v>5500</v>
      </c>
      <c r="AC62" s="162">
        <v>5500</v>
      </c>
      <c r="AD62" s="162">
        <v>5500</v>
      </c>
      <c r="AE62" s="163">
        <f>SUM(T62:AD62)</f>
        <v>60500</v>
      </c>
      <c r="AF62" s="24" t="s">
        <v>130</v>
      </c>
    </row>
    <row r="63" spans="1:32" ht="21" customHeight="1" x14ac:dyDescent="0.3">
      <c r="A63" s="1077"/>
      <c r="B63" s="378" t="s">
        <v>4</v>
      </c>
      <c r="C63" s="3" t="s">
        <v>80</v>
      </c>
      <c r="D63" s="2" t="s">
        <v>80</v>
      </c>
      <c r="E63" s="23">
        <f>+S63+AE63</f>
        <v>462000</v>
      </c>
      <c r="F63" s="23"/>
      <c r="G63" s="82">
        <f t="shared" si="44"/>
        <v>462000</v>
      </c>
      <c r="H63" s="179">
        <v>21000</v>
      </c>
      <c r="I63" s="179">
        <v>21000</v>
      </c>
      <c r="J63" s="162">
        <v>21000</v>
      </c>
      <c r="K63" s="162">
        <v>21000</v>
      </c>
      <c r="L63" s="162">
        <v>21000</v>
      </c>
      <c r="M63" s="162">
        <v>21000</v>
      </c>
      <c r="N63" s="162">
        <v>21000</v>
      </c>
      <c r="O63" s="162">
        <v>21000</v>
      </c>
      <c r="P63" s="162">
        <v>21000</v>
      </c>
      <c r="Q63" s="162">
        <v>21000</v>
      </c>
      <c r="R63" s="162">
        <v>21000</v>
      </c>
      <c r="S63" s="22">
        <f>SUM(H63:R63)</f>
        <v>231000</v>
      </c>
      <c r="T63" s="162">
        <v>21000</v>
      </c>
      <c r="U63" s="162">
        <v>21000</v>
      </c>
      <c r="V63" s="162">
        <v>21000</v>
      </c>
      <c r="W63" s="162">
        <v>21000</v>
      </c>
      <c r="X63" s="162">
        <v>21000</v>
      </c>
      <c r="Y63" s="162">
        <v>21000</v>
      </c>
      <c r="Z63" s="162">
        <v>21000</v>
      </c>
      <c r="AA63" s="162">
        <v>21000</v>
      </c>
      <c r="AB63" s="162">
        <v>21000</v>
      </c>
      <c r="AC63" s="162">
        <v>21000</v>
      </c>
      <c r="AD63" s="162">
        <v>21000</v>
      </c>
      <c r="AE63" s="163">
        <f>SUM(T63:AD63)</f>
        <v>231000</v>
      </c>
      <c r="AF63" s="24" t="s">
        <v>130</v>
      </c>
    </row>
    <row r="64" spans="1:32" ht="19.5" customHeight="1" x14ac:dyDescent="0.3">
      <c r="A64" s="1094" t="s">
        <v>380</v>
      </c>
      <c r="B64" s="172"/>
      <c r="C64" s="172"/>
      <c r="D64" s="21"/>
      <c r="E64" s="21">
        <f>+E65+E69+E73+E77+E81</f>
        <v>845048.75</v>
      </c>
      <c r="F64" s="21">
        <f>+F65+F69+F73+F77+F81</f>
        <v>0</v>
      </c>
      <c r="G64" s="21">
        <f t="shared" si="44"/>
        <v>845048.75</v>
      </c>
      <c r="H64" s="21">
        <f>+H65+H69+H73+H77+H81</f>
        <v>31877.059999999998</v>
      </c>
      <c r="I64" s="21">
        <f t="shared" ref="I64:S64" si="49">+I65+I69+I73+I77+I81</f>
        <v>32516.690000000002</v>
      </c>
      <c r="J64" s="21">
        <f t="shared" si="49"/>
        <v>36474</v>
      </c>
      <c r="K64" s="21">
        <f t="shared" si="49"/>
        <v>36474</v>
      </c>
      <c r="L64" s="21">
        <f t="shared" si="49"/>
        <v>36474</v>
      </c>
      <c r="M64" s="21">
        <f t="shared" si="49"/>
        <v>36474</v>
      </c>
      <c r="N64" s="21">
        <f t="shared" si="49"/>
        <v>36774</v>
      </c>
      <c r="O64" s="21">
        <f t="shared" si="49"/>
        <v>39774</v>
      </c>
      <c r="P64" s="21">
        <f t="shared" si="49"/>
        <v>39774</v>
      </c>
      <c r="Q64" s="21">
        <f t="shared" si="49"/>
        <v>39774</v>
      </c>
      <c r="R64" s="21">
        <f t="shared" si="49"/>
        <v>39774</v>
      </c>
      <c r="S64" s="21">
        <f t="shared" si="49"/>
        <v>406159.75</v>
      </c>
      <c r="T64" s="21">
        <f t="shared" ref="T64:AE64" si="50">+T65+T69+T73+T77+T81</f>
        <v>39899</v>
      </c>
      <c r="U64" s="21">
        <f t="shared" si="50"/>
        <v>39899</v>
      </c>
      <c r="V64" s="21">
        <f t="shared" si="50"/>
        <v>39899</v>
      </c>
      <c r="W64" s="21">
        <f t="shared" si="50"/>
        <v>39899</v>
      </c>
      <c r="X64" s="21">
        <f t="shared" si="50"/>
        <v>39899</v>
      </c>
      <c r="Y64" s="21">
        <f t="shared" si="50"/>
        <v>39899</v>
      </c>
      <c r="Z64" s="21">
        <f t="shared" si="50"/>
        <v>39899</v>
      </c>
      <c r="AA64" s="21">
        <f t="shared" si="50"/>
        <v>39899</v>
      </c>
      <c r="AB64" s="21">
        <f t="shared" si="50"/>
        <v>39899</v>
      </c>
      <c r="AC64" s="21">
        <f t="shared" si="50"/>
        <v>39899</v>
      </c>
      <c r="AD64" s="21">
        <f t="shared" si="50"/>
        <v>39899</v>
      </c>
      <c r="AE64" s="21">
        <f t="shared" si="50"/>
        <v>438889</v>
      </c>
      <c r="AF64" s="21"/>
    </row>
    <row r="65" spans="1:32" s="58" customFormat="1" ht="15" customHeight="1" x14ac:dyDescent="0.3">
      <c r="A65" s="1094"/>
      <c r="B65" s="1166" t="s">
        <v>2</v>
      </c>
      <c r="C65" s="1080" t="s">
        <v>86</v>
      </c>
      <c r="D65" s="165"/>
      <c r="E65" s="25">
        <f>SUM(E66:E68)</f>
        <v>96745.75</v>
      </c>
      <c r="F65" s="25">
        <f>SUM(F66:F68)</f>
        <v>0</v>
      </c>
      <c r="G65" s="25">
        <f t="shared" si="44"/>
        <v>96745.75</v>
      </c>
      <c r="H65" s="25">
        <f>SUM(H66:H68)</f>
        <v>3145.75</v>
      </c>
      <c r="I65" s="25">
        <f t="shared" ref="I65:AE65" si="51">SUM(I66:I68)</f>
        <v>3700</v>
      </c>
      <c r="J65" s="25">
        <f>SUM(J66:J68)</f>
        <v>4200</v>
      </c>
      <c r="K65" s="25">
        <f t="shared" si="51"/>
        <v>4200</v>
      </c>
      <c r="L65" s="25">
        <f t="shared" si="51"/>
        <v>4200</v>
      </c>
      <c r="M65" s="25">
        <f t="shared" si="51"/>
        <v>4200</v>
      </c>
      <c r="N65" s="25">
        <f t="shared" si="51"/>
        <v>4500</v>
      </c>
      <c r="O65" s="25">
        <f t="shared" si="51"/>
        <v>4500</v>
      </c>
      <c r="P65" s="25">
        <f t="shared" si="51"/>
        <v>4500</v>
      </c>
      <c r="Q65" s="25">
        <f t="shared" si="51"/>
        <v>4500</v>
      </c>
      <c r="R65" s="25">
        <f t="shared" si="51"/>
        <v>4500</v>
      </c>
      <c r="S65" s="25">
        <f t="shared" si="51"/>
        <v>46145.75</v>
      </c>
      <c r="T65" s="25">
        <f t="shared" si="51"/>
        <v>4600</v>
      </c>
      <c r="U65" s="25">
        <f t="shared" si="51"/>
        <v>4600</v>
      </c>
      <c r="V65" s="25">
        <f t="shared" si="51"/>
        <v>4600</v>
      </c>
      <c r="W65" s="25">
        <f t="shared" si="51"/>
        <v>4600</v>
      </c>
      <c r="X65" s="25">
        <f t="shared" si="51"/>
        <v>4600</v>
      </c>
      <c r="Y65" s="25">
        <f t="shared" si="51"/>
        <v>4600</v>
      </c>
      <c r="Z65" s="25">
        <f t="shared" si="51"/>
        <v>4600</v>
      </c>
      <c r="AA65" s="25">
        <f t="shared" si="51"/>
        <v>4600</v>
      </c>
      <c r="AB65" s="25">
        <f t="shared" si="51"/>
        <v>4600</v>
      </c>
      <c r="AC65" s="25">
        <f t="shared" si="51"/>
        <v>4600</v>
      </c>
      <c r="AD65" s="25">
        <f t="shared" si="51"/>
        <v>4600</v>
      </c>
      <c r="AE65" s="25">
        <f t="shared" si="51"/>
        <v>50600</v>
      </c>
      <c r="AF65" s="25"/>
    </row>
    <row r="66" spans="1:32" ht="20.25" customHeight="1" x14ac:dyDescent="0.3">
      <c r="A66" s="1094"/>
      <c r="B66" s="1167"/>
      <c r="C66" s="1081"/>
      <c r="D66" s="2" t="s">
        <v>157</v>
      </c>
      <c r="E66" s="23">
        <f>+S66+AE66</f>
        <v>49573.53</v>
      </c>
      <c r="F66" s="23"/>
      <c r="G66" s="82">
        <f t="shared" ref="G66:G90" si="52">+E66+F66</f>
        <v>49573.53</v>
      </c>
      <c r="H66" s="179">
        <v>1773.53</v>
      </c>
      <c r="I66" s="162">
        <v>1800</v>
      </c>
      <c r="J66" s="162">
        <v>2300</v>
      </c>
      <c r="K66" s="162">
        <v>2300</v>
      </c>
      <c r="L66" s="162">
        <v>2300</v>
      </c>
      <c r="M66" s="162">
        <v>2300</v>
      </c>
      <c r="N66" s="162">
        <v>2300</v>
      </c>
      <c r="O66" s="162">
        <v>2300</v>
      </c>
      <c r="P66" s="162">
        <v>2300</v>
      </c>
      <c r="Q66" s="162">
        <v>2300</v>
      </c>
      <c r="R66" s="162">
        <v>2300</v>
      </c>
      <c r="S66" s="22">
        <f>SUM(H66:R66)</f>
        <v>24273.53</v>
      </c>
      <c r="T66" s="162">
        <v>2300</v>
      </c>
      <c r="U66" s="162">
        <v>2300</v>
      </c>
      <c r="V66" s="162">
        <v>2300</v>
      </c>
      <c r="W66" s="162">
        <v>2300</v>
      </c>
      <c r="X66" s="162">
        <v>2300</v>
      </c>
      <c r="Y66" s="162">
        <v>2300</v>
      </c>
      <c r="Z66" s="162">
        <v>2300</v>
      </c>
      <c r="AA66" s="162">
        <v>2300</v>
      </c>
      <c r="AB66" s="162">
        <v>2300</v>
      </c>
      <c r="AC66" s="162">
        <v>2300</v>
      </c>
      <c r="AD66" s="162">
        <v>2300</v>
      </c>
      <c r="AE66" s="163">
        <f>SUM(T66:AD66)</f>
        <v>25300</v>
      </c>
      <c r="AF66" s="24" t="s">
        <v>130</v>
      </c>
    </row>
    <row r="67" spans="1:32" ht="28.8" x14ac:dyDescent="0.3">
      <c r="A67" s="1094"/>
      <c r="B67" s="1167"/>
      <c r="C67" s="1081"/>
      <c r="D67" s="2" t="s">
        <v>158</v>
      </c>
      <c r="E67" s="23">
        <f>+S67+AE67</f>
        <v>15156.49</v>
      </c>
      <c r="F67" s="23"/>
      <c r="G67" s="82">
        <f t="shared" si="52"/>
        <v>15156.49</v>
      </c>
      <c r="H67" s="179">
        <v>456.49</v>
      </c>
      <c r="I67" s="162">
        <v>700</v>
      </c>
      <c r="J67" s="162">
        <v>700</v>
      </c>
      <c r="K67" s="162">
        <v>700</v>
      </c>
      <c r="L67" s="162">
        <v>700</v>
      </c>
      <c r="M67" s="162">
        <v>700</v>
      </c>
      <c r="N67" s="162">
        <v>700</v>
      </c>
      <c r="O67" s="162">
        <v>700</v>
      </c>
      <c r="P67" s="162">
        <v>700</v>
      </c>
      <c r="Q67" s="162">
        <v>700</v>
      </c>
      <c r="R67" s="162">
        <v>700</v>
      </c>
      <c r="S67" s="22">
        <f>SUM(H67:R67)</f>
        <v>7456.49</v>
      </c>
      <c r="T67" s="162">
        <v>700</v>
      </c>
      <c r="U67" s="162">
        <v>700</v>
      </c>
      <c r="V67" s="162">
        <v>700</v>
      </c>
      <c r="W67" s="162">
        <v>700</v>
      </c>
      <c r="X67" s="162">
        <v>700</v>
      </c>
      <c r="Y67" s="162">
        <v>700</v>
      </c>
      <c r="Z67" s="162">
        <v>700</v>
      </c>
      <c r="AA67" s="162">
        <v>700</v>
      </c>
      <c r="AB67" s="162">
        <v>700</v>
      </c>
      <c r="AC67" s="162">
        <v>700</v>
      </c>
      <c r="AD67" s="162">
        <v>700</v>
      </c>
      <c r="AE67" s="163">
        <f>SUM(T67:AD67)</f>
        <v>7700</v>
      </c>
      <c r="AF67" s="24" t="s">
        <v>130</v>
      </c>
    </row>
    <row r="68" spans="1:32" x14ac:dyDescent="0.3">
      <c r="A68" s="1094"/>
      <c r="B68" s="1168"/>
      <c r="C68" s="1082"/>
      <c r="D68" s="2" t="s">
        <v>165</v>
      </c>
      <c r="E68" s="23">
        <f>+S68+AE68</f>
        <v>32015.73</v>
      </c>
      <c r="F68" s="23"/>
      <c r="G68" s="82">
        <f t="shared" si="52"/>
        <v>32015.73</v>
      </c>
      <c r="H68" s="179">
        <v>915.73</v>
      </c>
      <c r="I68" s="162">
        <v>1200</v>
      </c>
      <c r="J68" s="162">
        <v>1200</v>
      </c>
      <c r="K68" s="162">
        <v>1200</v>
      </c>
      <c r="L68" s="162">
        <v>1200</v>
      </c>
      <c r="M68" s="162">
        <v>1200</v>
      </c>
      <c r="N68" s="162">
        <v>1500</v>
      </c>
      <c r="O68" s="162">
        <v>1500</v>
      </c>
      <c r="P68" s="162">
        <v>1500</v>
      </c>
      <c r="Q68" s="162">
        <v>1500</v>
      </c>
      <c r="R68" s="162">
        <v>1500</v>
      </c>
      <c r="S68" s="22">
        <f>SUM(H68:R68)</f>
        <v>14415.73</v>
      </c>
      <c r="T68" s="162">
        <v>1600</v>
      </c>
      <c r="U68" s="162">
        <v>1600</v>
      </c>
      <c r="V68" s="162">
        <v>1600</v>
      </c>
      <c r="W68" s="162">
        <v>1600</v>
      </c>
      <c r="X68" s="162">
        <v>1600</v>
      </c>
      <c r="Y68" s="162">
        <v>1600</v>
      </c>
      <c r="Z68" s="162">
        <v>1600</v>
      </c>
      <c r="AA68" s="162">
        <v>1600</v>
      </c>
      <c r="AB68" s="162">
        <v>1600</v>
      </c>
      <c r="AC68" s="162">
        <v>1600</v>
      </c>
      <c r="AD68" s="162">
        <v>1600</v>
      </c>
      <c r="AE68" s="163">
        <f>SUM(T68:AD68)</f>
        <v>17600</v>
      </c>
      <c r="AF68" s="24" t="s">
        <v>130</v>
      </c>
    </row>
    <row r="69" spans="1:32" s="161" customFormat="1" x14ac:dyDescent="0.3">
      <c r="A69" s="1094"/>
      <c r="B69" s="1175" t="s">
        <v>3</v>
      </c>
      <c r="C69" s="1088" t="s">
        <v>7</v>
      </c>
      <c r="D69" s="159"/>
      <c r="E69" s="160">
        <f>SUM(E70:E72)</f>
        <v>25800</v>
      </c>
      <c r="F69" s="160">
        <f>SUM(F70:F72)</f>
        <v>0</v>
      </c>
      <c r="G69" s="160">
        <f t="shared" si="52"/>
        <v>25800</v>
      </c>
      <c r="H69" s="160">
        <f>SUM(H70:H72)</f>
        <v>857.31</v>
      </c>
      <c r="I69" s="160">
        <f t="shared" ref="I69:AE69" si="53">SUM(I70:I72)</f>
        <v>942.69</v>
      </c>
      <c r="J69" s="160">
        <f t="shared" si="53"/>
        <v>1200</v>
      </c>
      <c r="K69" s="160">
        <f t="shared" si="53"/>
        <v>1200</v>
      </c>
      <c r="L69" s="160">
        <f t="shared" si="53"/>
        <v>1200</v>
      </c>
      <c r="M69" s="160">
        <f t="shared" si="53"/>
        <v>1200</v>
      </c>
      <c r="N69" s="160">
        <f t="shared" si="53"/>
        <v>1200</v>
      </c>
      <c r="O69" s="160">
        <f t="shared" si="53"/>
        <v>1200</v>
      </c>
      <c r="P69" s="160">
        <f t="shared" si="53"/>
        <v>1200</v>
      </c>
      <c r="Q69" s="160">
        <f t="shared" si="53"/>
        <v>1200</v>
      </c>
      <c r="R69" s="160">
        <f t="shared" si="53"/>
        <v>1200</v>
      </c>
      <c r="S69" s="160">
        <f t="shared" si="53"/>
        <v>12600</v>
      </c>
      <c r="T69" s="160">
        <f t="shared" si="53"/>
        <v>1200</v>
      </c>
      <c r="U69" s="160">
        <f t="shared" si="53"/>
        <v>1200</v>
      </c>
      <c r="V69" s="160">
        <f t="shared" si="53"/>
        <v>1200</v>
      </c>
      <c r="W69" s="160">
        <f t="shared" si="53"/>
        <v>1200</v>
      </c>
      <c r="X69" s="160">
        <f t="shared" si="53"/>
        <v>1200</v>
      </c>
      <c r="Y69" s="160">
        <f t="shared" si="53"/>
        <v>1200</v>
      </c>
      <c r="Z69" s="160">
        <f t="shared" si="53"/>
        <v>1200</v>
      </c>
      <c r="AA69" s="160">
        <f t="shared" si="53"/>
        <v>1200</v>
      </c>
      <c r="AB69" s="160">
        <f t="shared" si="53"/>
        <v>1200</v>
      </c>
      <c r="AC69" s="160">
        <f t="shared" si="53"/>
        <v>1200</v>
      </c>
      <c r="AD69" s="160">
        <f t="shared" si="53"/>
        <v>1200</v>
      </c>
      <c r="AE69" s="160">
        <f t="shared" si="53"/>
        <v>13200</v>
      </c>
      <c r="AF69" s="92"/>
    </row>
    <row r="70" spans="1:32" ht="15" customHeight="1" x14ac:dyDescent="0.3">
      <c r="A70" s="1094"/>
      <c r="B70" s="1175"/>
      <c r="C70" s="1088"/>
      <c r="D70" s="2" t="s">
        <v>161</v>
      </c>
      <c r="E70" s="23">
        <f>+S70+AE70</f>
        <v>0</v>
      </c>
      <c r="F70" s="23"/>
      <c r="G70" s="82">
        <f t="shared" si="52"/>
        <v>0</v>
      </c>
      <c r="H70" s="162">
        <v>0</v>
      </c>
      <c r="I70" s="162">
        <v>0</v>
      </c>
      <c r="J70" s="162"/>
      <c r="K70" s="162"/>
      <c r="L70" s="162"/>
      <c r="M70" s="162"/>
      <c r="N70" s="162"/>
      <c r="O70" s="162"/>
      <c r="P70" s="162"/>
      <c r="Q70" s="162"/>
      <c r="R70" s="162"/>
      <c r="S70" s="22">
        <f>SUM(H70:R70)</f>
        <v>0</v>
      </c>
      <c r="T70" s="162"/>
      <c r="U70" s="162"/>
      <c r="V70" s="162"/>
      <c r="W70" s="162"/>
      <c r="X70" s="162"/>
      <c r="Y70" s="162"/>
      <c r="Z70" s="162"/>
      <c r="AA70" s="162"/>
      <c r="AB70" s="162"/>
      <c r="AC70" s="162"/>
      <c r="AD70" s="162"/>
      <c r="AE70" s="163">
        <f>SUM(T70:AD70)</f>
        <v>0</v>
      </c>
      <c r="AF70" s="24" t="s">
        <v>130</v>
      </c>
    </row>
    <row r="71" spans="1:32" ht="30" customHeight="1" x14ac:dyDescent="0.3">
      <c r="A71" s="1094"/>
      <c r="B71" s="1175"/>
      <c r="C71" s="1088"/>
      <c r="D71" s="2" t="s">
        <v>162</v>
      </c>
      <c r="E71" s="23">
        <f>+S71+AE71</f>
        <v>0</v>
      </c>
      <c r="F71" s="23"/>
      <c r="G71" s="82">
        <f t="shared" si="52"/>
        <v>0</v>
      </c>
      <c r="H71" s="162">
        <v>0</v>
      </c>
      <c r="I71" s="162">
        <v>0</v>
      </c>
      <c r="J71" s="162"/>
      <c r="K71" s="162"/>
      <c r="L71" s="162"/>
      <c r="M71" s="162"/>
      <c r="N71" s="162"/>
      <c r="O71" s="162"/>
      <c r="P71" s="162"/>
      <c r="Q71" s="162"/>
      <c r="R71" s="162"/>
      <c r="S71" s="22">
        <f>SUM(H71:R71)</f>
        <v>0</v>
      </c>
      <c r="T71" s="162"/>
      <c r="U71" s="162"/>
      <c r="V71" s="162"/>
      <c r="W71" s="162"/>
      <c r="X71" s="162"/>
      <c r="Y71" s="162"/>
      <c r="Z71" s="162"/>
      <c r="AA71" s="162"/>
      <c r="AB71" s="162"/>
      <c r="AC71" s="162"/>
      <c r="AD71" s="162"/>
      <c r="AE71" s="163">
        <f>SUM(T71:AD71)</f>
        <v>0</v>
      </c>
      <c r="AF71" s="24" t="s">
        <v>130</v>
      </c>
    </row>
    <row r="72" spans="1:32" x14ac:dyDescent="0.3">
      <c r="A72" s="1094"/>
      <c r="B72" s="1175"/>
      <c r="C72" s="1088"/>
      <c r="D72" s="2" t="s">
        <v>167</v>
      </c>
      <c r="E72" s="23">
        <f>+S72+AE72</f>
        <v>25800</v>
      </c>
      <c r="F72" s="23"/>
      <c r="G72" s="82">
        <f t="shared" si="52"/>
        <v>25800</v>
      </c>
      <c r="H72" s="179">
        <v>857.31</v>
      </c>
      <c r="I72" s="162">
        <f>900+900-857.31</f>
        <v>942.69</v>
      </c>
      <c r="J72" s="162">
        <v>1200</v>
      </c>
      <c r="K72" s="162">
        <v>1200</v>
      </c>
      <c r="L72" s="162">
        <v>1200</v>
      </c>
      <c r="M72" s="162">
        <v>1200</v>
      </c>
      <c r="N72" s="162">
        <v>1200</v>
      </c>
      <c r="O72" s="162">
        <v>1200</v>
      </c>
      <c r="P72" s="162">
        <v>1200</v>
      </c>
      <c r="Q72" s="162">
        <v>1200</v>
      </c>
      <c r="R72" s="162">
        <v>1200</v>
      </c>
      <c r="S72" s="22">
        <f>SUM(H72:R72)</f>
        <v>12600</v>
      </c>
      <c r="T72" s="162">
        <v>1200</v>
      </c>
      <c r="U72" s="162">
        <v>1200</v>
      </c>
      <c r="V72" s="162">
        <v>1200</v>
      </c>
      <c r="W72" s="162">
        <v>1200</v>
      </c>
      <c r="X72" s="162">
        <v>1200</v>
      </c>
      <c r="Y72" s="162">
        <v>1200</v>
      </c>
      <c r="Z72" s="162">
        <v>1200</v>
      </c>
      <c r="AA72" s="162">
        <v>1200</v>
      </c>
      <c r="AB72" s="162">
        <v>1200</v>
      </c>
      <c r="AC72" s="162">
        <v>1200</v>
      </c>
      <c r="AD72" s="162">
        <v>1200</v>
      </c>
      <c r="AE72" s="163">
        <f>SUM(T72:AD72)</f>
        <v>13200</v>
      </c>
      <c r="AF72" s="24" t="s">
        <v>130</v>
      </c>
    </row>
    <row r="73" spans="1:32" s="161" customFormat="1" x14ac:dyDescent="0.3">
      <c r="A73" s="1094"/>
      <c r="B73" s="1166" t="s">
        <v>4</v>
      </c>
      <c r="C73" s="1080" t="s">
        <v>87</v>
      </c>
      <c r="D73" s="159"/>
      <c r="E73" s="160">
        <f>SUM(E74:E76)</f>
        <v>1925</v>
      </c>
      <c r="F73" s="160">
        <f>SUM(F74:F76)</f>
        <v>0</v>
      </c>
      <c r="G73" s="160">
        <f t="shared" si="52"/>
        <v>1925</v>
      </c>
      <c r="H73" s="160">
        <f>SUM(H74:H76)</f>
        <v>75</v>
      </c>
      <c r="I73" s="160">
        <f t="shared" ref="I73:AE73" si="54">SUM(I74:I76)</f>
        <v>75</v>
      </c>
      <c r="J73" s="160">
        <f t="shared" si="54"/>
        <v>75</v>
      </c>
      <c r="K73" s="160">
        <f t="shared" si="54"/>
        <v>75</v>
      </c>
      <c r="L73" s="160">
        <f t="shared" si="54"/>
        <v>75</v>
      </c>
      <c r="M73" s="160">
        <f t="shared" si="54"/>
        <v>75</v>
      </c>
      <c r="N73" s="160">
        <f t="shared" si="54"/>
        <v>75</v>
      </c>
      <c r="O73" s="160">
        <f t="shared" si="54"/>
        <v>75</v>
      </c>
      <c r="P73" s="160">
        <f t="shared" si="54"/>
        <v>75</v>
      </c>
      <c r="Q73" s="160">
        <f t="shared" si="54"/>
        <v>75</v>
      </c>
      <c r="R73" s="160">
        <f t="shared" si="54"/>
        <v>75</v>
      </c>
      <c r="S73" s="160">
        <f t="shared" si="54"/>
        <v>825</v>
      </c>
      <c r="T73" s="160">
        <f t="shared" si="54"/>
        <v>100</v>
      </c>
      <c r="U73" s="160">
        <f t="shared" si="54"/>
        <v>100</v>
      </c>
      <c r="V73" s="160">
        <f t="shared" si="54"/>
        <v>100</v>
      </c>
      <c r="W73" s="160">
        <f t="shared" si="54"/>
        <v>100</v>
      </c>
      <c r="X73" s="160">
        <f t="shared" si="54"/>
        <v>100</v>
      </c>
      <c r="Y73" s="160">
        <f t="shared" si="54"/>
        <v>100</v>
      </c>
      <c r="Z73" s="160">
        <f t="shared" si="54"/>
        <v>100</v>
      </c>
      <c r="AA73" s="160">
        <f t="shared" si="54"/>
        <v>100</v>
      </c>
      <c r="AB73" s="160">
        <f t="shared" si="54"/>
        <v>100</v>
      </c>
      <c r="AC73" s="160">
        <f t="shared" si="54"/>
        <v>100</v>
      </c>
      <c r="AD73" s="160">
        <f t="shared" si="54"/>
        <v>100</v>
      </c>
      <c r="AE73" s="160">
        <f t="shared" si="54"/>
        <v>1100</v>
      </c>
      <c r="AF73" s="92"/>
    </row>
    <row r="74" spans="1:32" ht="30" customHeight="1" x14ac:dyDescent="0.3">
      <c r="A74" s="1094"/>
      <c r="B74" s="1167"/>
      <c r="C74" s="1081"/>
      <c r="D74" s="2" t="s">
        <v>159</v>
      </c>
      <c r="E74" s="23">
        <f>+S74+AE74</f>
        <v>0</v>
      </c>
      <c r="F74" s="23"/>
      <c r="G74" s="82">
        <f t="shared" si="52"/>
        <v>0</v>
      </c>
      <c r="H74" s="162">
        <v>0</v>
      </c>
      <c r="I74" s="162">
        <v>0</v>
      </c>
      <c r="J74" s="162"/>
      <c r="K74" s="162"/>
      <c r="L74" s="162"/>
      <c r="M74" s="162"/>
      <c r="N74" s="162"/>
      <c r="O74" s="162"/>
      <c r="P74" s="162"/>
      <c r="Q74" s="162"/>
      <c r="R74" s="162"/>
      <c r="S74" s="22">
        <f>SUM(H74:R74)</f>
        <v>0</v>
      </c>
      <c r="T74" s="162"/>
      <c r="U74" s="162"/>
      <c r="V74" s="162"/>
      <c r="W74" s="162"/>
      <c r="X74" s="162"/>
      <c r="Y74" s="162"/>
      <c r="Z74" s="162"/>
      <c r="AA74" s="162"/>
      <c r="AB74" s="162"/>
      <c r="AC74" s="162"/>
      <c r="AD74" s="162"/>
      <c r="AE74" s="163">
        <f>SUM(T74:AD74)</f>
        <v>0</v>
      </c>
      <c r="AF74" s="24" t="s">
        <v>130</v>
      </c>
    </row>
    <row r="75" spans="1:32" ht="30" customHeight="1" x14ac:dyDescent="0.3">
      <c r="A75" s="1094"/>
      <c r="B75" s="1167"/>
      <c r="C75" s="1081"/>
      <c r="D75" s="2" t="s">
        <v>160</v>
      </c>
      <c r="E75" s="23">
        <f>+S75+AE75</f>
        <v>0</v>
      </c>
      <c r="F75" s="23"/>
      <c r="G75" s="82">
        <f t="shared" si="52"/>
        <v>0</v>
      </c>
      <c r="H75" s="162">
        <v>0</v>
      </c>
      <c r="I75" s="162">
        <v>0</v>
      </c>
      <c r="J75" s="162">
        <v>0</v>
      </c>
      <c r="K75" s="162">
        <v>0</v>
      </c>
      <c r="L75" s="162">
        <v>0</v>
      </c>
      <c r="M75" s="162">
        <v>0</v>
      </c>
      <c r="N75" s="162">
        <v>0</v>
      </c>
      <c r="O75" s="162">
        <v>0</v>
      </c>
      <c r="P75" s="162">
        <v>0</v>
      </c>
      <c r="Q75" s="162">
        <v>0</v>
      </c>
      <c r="R75" s="162">
        <v>0</v>
      </c>
      <c r="S75" s="22">
        <f>SUM(H75:R75)</f>
        <v>0</v>
      </c>
      <c r="T75" s="162">
        <v>0</v>
      </c>
      <c r="U75" s="162">
        <v>0</v>
      </c>
      <c r="V75" s="162">
        <v>0</v>
      </c>
      <c r="W75" s="162">
        <v>0</v>
      </c>
      <c r="X75" s="162">
        <v>0</v>
      </c>
      <c r="Y75" s="162">
        <v>0</v>
      </c>
      <c r="Z75" s="162">
        <v>0</v>
      </c>
      <c r="AA75" s="162">
        <v>0</v>
      </c>
      <c r="AB75" s="162">
        <v>0</v>
      </c>
      <c r="AC75" s="162">
        <v>0</v>
      </c>
      <c r="AD75" s="162">
        <v>0</v>
      </c>
      <c r="AE75" s="163">
        <f>SUM(T75:AD75)</f>
        <v>0</v>
      </c>
      <c r="AF75" s="24" t="s">
        <v>130</v>
      </c>
    </row>
    <row r="76" spans="1:32" ht="32.25" customHeight="1" x14ac:dyDescent="0.3">
      <c r="A76" s="1094"/>
      <c r="B76" s="1168"/>
      <c r="C76" s="1082"/>
      <c r="D76" s="2" t="s">
        <v>166</v>
      </c>
      <c r="E76" s="23">
        <f>+S76+AE76</f>
        <v>1925</v>
      </c>
      <c r="F76" s="23"/>
      <c r="G76" s="82">
        <f t="shared" si="52"/>
        <v>1925</v>
      </c>
      <c r="H76" s="179">
        <v>75</v>
      </c>
      <c r="I76" s="179">
        <v>75</v>
      </c>
      <c r="J76" s="540">
        <v>75</v>
      </c>
      <c r="K76" s="540">
        <v>75</v>
      </c>
      <c r="L76" s="540">
        <v>75</v>
      </c>
      <c r="M76" s="540">
        <v>75</v>
      </c>
      <c r="N76" s="540">
        <v>75</v>
      </c>
      <c r="O76" s="540">
        <v>75</v>
      </c>
      <c r="P76" s="540">
        <v>75</v>
      </c>
      <c r="Q76" s="540">
        <v>75</v>
      </c>
      <c r="R76" s="540">
        <v>75</v>
      </c>
      <c r="S76" s="22">
        <f>SUM(H76:R76)</f>
        <v>825</v>
      </c>
      <c r="T76" s="162">
        <v>100</v>
      </c>
      <c r="U76" s="162">
        <v>100</v>
      </c>
      <c r="V76" s="162">
        <v>100</v>
      </c>
      <c r="W76" s="162">
        <v>100</v>
      </c>
      <c r="X76" s="162">
        <v>100</v>
      </c>
      <c r="Y76" s="162">
        <v>100</v>
      </c>
      <c r="Z76" s="162">
        <v>100</v>
      </c>
      <c r="AA76" s="162">
        <v>100</v>
      </c>
      <c r="AB76" s="162">
        <v>100</v>
      </c>
      <c r="AC76" s="162">
        <v>100</v>
      </c>
      <c r="AD76" s="162">
        <v>100</v>
      </c>
      <c r="AE76" s="163">
        <f>SUM(T76:AD76)</f>
        <v>1100</v>
      </c>
      <c r="AF76" s="24" t="s">
        <v>130</v>
      </c>
    </row>
    <row r="77" spans="1:32" s="161" customFormat="1" ht="16.5" customHeight="1" x14ac:dyDescent="0.3">
      <c r="A77" s="1094"/>
      <c r="B77" s="1166" t="s">
        <v>8</v>
      </c>
      <c r="C77" s="1080" t="s">
        <v>83</v>
      </c>
      <c r="D77" s="159"/>
      <c r="E77" s="160">
        <f>SUM(E78:E80)</f>
        <v>81578</v>
      </c>
      <c r="F77" s="160">
        <f>SUM(F78:F80)</f>
        <v>0</v>
      </c>
      <c r="G77" s="160">
        <f t="shared" si="52"/>
        <v>81578</v>
      </c>
      <c r="H77" s="160">
        <f>SUM(H78:H80)</f>
        <v>799</v>
      </c>
      <c r="I77" s="160">
        <f t="shared" ref="I77:AE77" si="55">SUM(I78:I80)</f>
        <v>799</v>
      </c>
      <c r="J77" s="160">
        <f t="shared" si="55"/>
        <v>3999</v>
      </c>
      <c r="K77" s="160">
        <f t="shared" si="55"/>
        <v>3999</v>
      </c>
      <c r="L77" s="160">
        <f t="shared" si="55"/>
        <v>3999</v>
      </c>
      <c r="M77" s="160">
        <f t="shared" si="55"/>
        <v>3999</v>
      </c>
      <c r="N77" s="160">
        <f t="shared" si="55"/>
        <v>3999</v>
      </c>
      <c r="O77" s="160">
        <f t="shared" si="55"/>
        <v>3999</v>
      </c>
      <c r="P77" s="160">
        <f t="shared" si="55"/>
        <v>3999</v>
      </c>
      <c r="Q77" s="160">
        <f t="shared" si="55"/>
        <v>3999</v>
      </c>
      <c r="R77" s="160">
        <f t="shared" si="55"/>
        <v>3999</v>
      </c>
      <c r="S77" s="160">
        <f t="shared" si="55"/>
        <v>37589</v>
      </c>
      <c r="T77" s="160">
        <f t="shared" si="55"/>
        <v>3999</v>
      </c>
      <c r="U77" s="160">
        <f t="shared" si="55"/>
        <v>3999</v>
      </c>
      <c r="V77" s="160">
        <f t="shared" si="55"/>
        <v>3999</v>
      </c>
      <c r="W77" s="160">
        <f t="shared" si="55"/>
        <v>3999</v>
      </c>
      <c r="X77" s="160">
        <f t="shared" si="55"/>
        <v>3999</v>
      </c>
      <c r="Y77" s="160">
        <f t="shared" si="55"/>
        <v>3999</v>
      </c>
      <c r="Z77" s="160">
        <f t="shared" si="55"/>
        <v>3999</v>
      </c>
      <c r="AA77" s="160">
        <f t="shared" si="55"/>
        <v>3999</v>
      </c>
      <c r="AB77" s="160">
        <f t="shared" si="55"/>
        <v>3999</v>
      </c>
      <c r="AC77" s="160">
        <f t="shared" si="55"/>
        <v>3999</v>
      </c>
      <c r="AD77" s="160">
        <f t="shared" si="55"/>
        <v>3999</v>
      </c>
      <c r="AE77" s="160">
        <f t="shared" si="55"/>
        <v>43989</v>
      </c>
      <c r="AF77" s="92"/>
    </row>
    <row r="78" spans="1:32" ht="20.25" customHeight="1" x14ac:dyDescent="0.3">
      <c r="A78" s="1094"/>
      <c r="B78" s="1167"/>
      <c r="C78" s="1081"/>
      <c r="D78" s="2" t="s">
        <v>155</v>
      </c>
      <c r="E78" s="23">
        <f>+S78+AE78</f>
        <v>56000</v>
      </c>
      <c r="F78" s="23"/>
      <c r="G78" s="82">
        <f t="shared" si="52"/>
        <v>56000</v>
      </c>
      <c r="H78" s="162">
        <v>0</v>
      </c>
      <c r="I78" s="174"/>
      <c r="J78" s="174">
        <v>2800</v>
      </c>
      <c r="K78" s="174">
        <v>2800</v>
      </c>
      <c r="L78" s="174">
        <v>2800</v>
      </c>
      <c r="M78" s="174">
        <v>2800</v>
      </c>
      <c r="N78" s="174">
        <v>2800</v>
      </c>
      <c r="O78" s="174">
        <v>2800</v>
      </c>
      <c r="P78" s="174">
        <v>2800</v>
      </c>
      <c r="Q78" s="174">
        <v>2800</v>
      </c>
      <c r="R78" s="174">
        <v>2800</v>
      </c>
      <c r="S78" s="22">
        <f>SUM(H78:R78)</f>
        <v>25200</v>
      </c>
      <c r="T78" s="162">
        <v>2800</v>
      </c>
      <c r="U78" s="162">
        <v>2800</v>
      </c>
      <c r="V78" s="162">
        <v>2800</v>
      </c>
      <c r="W78" s="162">
        <v>2800</v>
      </c>
      <c r="X78" s="162">
        <v>2800</v>
      </c>
      <c r="Y78" s="162">
        <v>2800</v>
      </c>
      <c r="Z78" s="162">
        <v>2800</v>
      </c>
      <c r="AA78" s="162">
        <v>2800</v>
      </c>
      <c r="AB78" s="162">
        <v>2800</v>
      </c>
      <c r="AC78" s="162">
        <v>2800</v>
      </c>
      <c r="AD78" s="162">
        <v>2800</v>
      </c>
      <c r="AE78" s="163">
        <f>SUM(T78:AD78)</f>
        <v>30800</v>
      </c>
      <c r="AF78" s="24" t="s">
        <v>130</v>
      </c>
    </row>
    <row r="79" spans="1:32" ht="35.25" customHeight="1" x14ac:dyDescent="0.3">
      <c r="A79" s="1094"/>
      <c r="B79" s="1167"/>
      <c r="C79" s="1081"/>
      <c r="D79" s="2" t="s">
        <v>156</v>
      </c>
      <c r="E79" s="23">
        <f>+S79+AE79</f>
        <v>8000</v>
      </c>
      <c r="F79" s="23"/>
      <c r="G79" s="82">
        <f t="shared" si="52"/>
        <v>8000</v>
      </c>
      <c r="H79" s="162">
        <v>0</v>
      </c>
      <c r="I79" s="174"/>
      <c r="J79" s="174">
        <v>400</v>
      </c>
      <c r="K79" s="174">
        <v>400</v>
      </c>
      <c r="L79" s="174">
        <v>400</v>
      </c>
      <c r="M79" s="174">
        <v>400</v>
      </c>
      <c r="N79" s="174">
        <v>400</v>
      </c>
      <c r="O79" s="174">
        <v>400</v>
      </c>
      <c r="P79" s="174">
        <v>400</v>
      </c>
      <c r="Q79" s="174">
        <v>400</v>
      </c>
      <c r="R79" s="174">
        <v>400</v>
      </c>
      <c r="S79" s="22">
        <f>SUM(H79:R79)</f>
        <v>3600</v>
      </c>
      <c r="T79" s="162">
        <v>400</v>
      </c>
      <c r="U79" s="162">
        <v>400</v>
      </c>
      <c r="V79" s="162">
        <v>400</v>
      </c>
      <c r="W79" s="162">
        <v>400</v>
      </c>
      <c r="X79" s="162">
        <v>400</v>
      </c>
      <c r="Y79" s="162">
        <v>400</v>
      </c>
      <c r="Z79" s="162">
        <v>400</v>
      </c>
      <c r="AA79" s="162">
        <v>400</v>
      </c>
      <c r="AB79" s="162">
        <v>400</v>
      </c>
      <c r="AC79" s="162">
        <v>400</v>
      </c>
      <c r="AD79" s="162">
        <v>400</v>
      </c>
      <c r="AE79" s="163">
        <f>SUM(T79:AD79)</f>
        <v>4400</v>
      </c>
      <c r="AF79" s="24" t="s">
        <v>130</v>
      </c>
    </row>
    <row r="80" spans="1:32" ht="22.5" customHeight="1" x14ac:dyDescent="0.3">
      <c r="A80" s="1094"/>
      <c r="B80" s="1168"/>
      <c r="C80" s="1082"/>
      <c r="D80" s="2" t="s">
        <v>169</v>
      </c>
      <c r="E80" s="23">
        <f>+S80+AE80</f>
        <v>17578</v>
      </c>
      <c r="F80" s="23"/>
      <c r="G80" s="82">
        <f t="shared" si="52"/>
        <v>17578</v>
      </c>
      <c r="H80" s="179">
        <v>799</v>
      </c>
      <c r="I80" s="179">
        <v>799</v>
      </c>
      <c r="J80" s="174">
        <v>799</v>
      </c>
      <c r="K80" s="174">
        <v>799</v>
      </c>
      <c r="L80" s="174">
        <v>799</v>
      </c>
      <c r="M80" s="174">
        <v>799</v>
      </c>
      <c r="N80" s="174">
        <v>799</v>
      </c>
      <c r="O80" s="174">
        <v>799</v>
      </c>
      <c r="P80" s="174">
        <v>799</v>
      </c>
      <c r="Q80" s="174">
        <v>799</v>
      </c>
      <c r="R80" s="174">
        <v>799</v>
      </c>
      <c r="S80" s="22">
        <f>SUM(H80:R80)</f>
        <v>8789</v>
      </c>
      <c r="T80" s="162">
        <v>799</v>
      </c>
      <c r="U80" s="162">
        <v>799</v>
      </c>
      <c r="V80" s="162">
        <v>799</v>
      </c>
      <c r="W80" s="162">
        <v>799</v>
      </c>
      <c r="X80" s="162">
        <v>799</v>
      </c>
      <c r="Y80" s="162">
        <v>799</v>
      </c>
      <c r="Z80" s="162">
        <v>799</v>
      </c>
      <c r="AA80" s="162">
        <v>799</v>
      </c>
      <c r="AB80" s="162">
        <v>799</v>
      </c>
      <c r="AC80" s="162">
        <v>799</v>
      </c>
      <c r="AD80" s="162">
        <v>799</v>
      </c>
      <c r="AE80" s="163">
        <f>SUM(T80:AD80)</f>
        <v>8789</v>
      </c>
      <c r="AF80" s="24" t="s">
        <v>130</v>
      </c>
    </row>
    <row r="81" spans="1:32" s="161" customFormat="1" x14ac:dyDescent="0.3">
      <c r="A81" s="1094"/>
      <c r="B81" s="1166" t="s">
        <v>9</v>
      </c>
      <c r="C81" s="1080" t="s">
        <v>20</v>
      </c>
      <c r="D81" s="159"/>
      <c r="E81" s="25">
        <f>SUM(E82:E84)</f>
        <v>639000</v>
      </c>
      <c r="F81" s="25">
        <f>SUM(F82:F84)</f>
        <v>0</v>
      </c>
      <c r="G81" s="25">
        <f t="shared" si="52"/>
        <v>639000</v>
      </c>
      <c r="H81" s="25">
        <f>SUM(H82:H84)</f>
        <v>27000</v>
      </c>
      <c r="I81" s="25">
        <f t="shared" ref="I81:AE81" si="56">SUM(I82:I84)</f>
        <v>27000</v>
      </c>
      <c r="J81" s="25">
        <f t="shared" si="56"/>
        <v>27000</v>
      </c>
      <c r="K81" s="25">
        <f t="shared" si="56"/>
        <v>27000</v>
      </c>
      <c r="L81" s="25">
        <f t="shared" si="56"/>
        <v>27000</v>
      </c>
      <c r="M81" s="25">
        <f t="shared" si="56"/>
        <v>27000</v>
      </c>
      <c r="N81" s="25">
        <f t="shared" si="56"/>
        <v>27000</v>
      </c>
      <c r="O81" s="25">
        <f t="shared" si="56"/>
        <v>30000</v>
      </c>
      <c r="P81" s="25">
        <f t="shared" si="56"/>
        <v>30000</v>
      </c>
      <c r="Q81" s="25">
        <f t="shared" si="56"/>
        <v>30000</v>
      </c>
      <c r="R81" s="25">
        <f t="shared" si="56"/>
        <v>30000</v>
      </c>
      <c r="S81" s="25">
        <f t="shared" si="56"/>
        <v>309000</v>
      </c>
      <c r="T81" s="25">
        <f t="shared" si="56"/>
        <v>30000</v>
      </c>
      <c r="U81" s="25">
        <f t="shared" si="56"/>
        <v>30000</v>
      </c>
      <c r="V81" s="25">
        <f t="shared" si="56"/>
        <v>30000</v>
      </c>
      <c r="W81" s="25">
        <f t="shared" si="56"/>
        <v>30000</v>
      </c>
      <c r="X81" s="25">
        <f t="shared" si="56"/>
        <v>30000</v>
      </c>
      <c r="Y81" s="25">
        <f t="shared" si="56"/>
        <v>30000</v>
      </c>
      <c r="Z81" s="25">
        <f t="shared" si="56"/>
        <v>30000</v>
      </c>
      <c r="AA81" s="25">
        <f t="shared" si="56"/>
        <v>30000</v>
      </c>
      <c r="AB81" s="25">
        <f t="shared" si="56"/>
        <v>30000</v>
      </c>
      <c r="AC81" s="25">
        <f t="shared" si="56"/>
        <v>30000</v>
      </c>
      <c r="AD81" s="25">
        <f t="shared" si="56"/>
        <v>30000</v>
      </c>
      <c r="AE81" s="25">
        <f t="shared" si="56"/>
        <v>330000</v>
      </c>
      <c r="AF81" s="92"/>
    </row>
    <row r="82" spans="1:32" ht="21.75" customHeight="1" x14ac:dyDescent="0.3">
      <c r="A82" s="1094"/>
      <c r="B82" s="1167"/>
      <c r="C82" s="1081"/>
      <c r="D82" s="2" t="s">
        <v>163</v>
      </c>
      <c r="E82" s="23">
        <f>+S82+AE82</f>
        <v>213000</v>
      </c>
      <c r="F82" s="23"/>
      <c r="G82" s="82">
        <f t="shared" si="52"/>
        <v>213000</v>
      </c>
      <c r="H82" s="545">
        <v>9000</v>
      </c>
      <c r="I82" s="545">
        <v>9000</v>
      </c>
      <c r="J82" s="535">
        <v>9000</v>
      </c>
      <c r="K82" s="535">
        <v>9000</v>
      </c>
      <c r="L82" s="535">
        <v>9000</v>
      </c>
      <c r="M82" s="535">
        <v>9000</v>
      </c>
      <c r="N82" s="535">
        <v>9000</v>
      </c>
      <c r="O82" s="162">
        <v>10000</v>
      </c>
      <c r="P82" s="162">
        <v>10000</v>
      </c>
      <c r="Q82" s="162">
        <v>10000</v>
      </c>
      <c r="R82" s="162">
        <v>10000</v>
      </c>
      <c r="S82" s="22">
        <f>SUM(H82:R82)</f>
        <v>103000</v>
      </c>
      <c r="T82" s="162">
        <v>10000</v>
      </c>
      <c r="U82" s="162">
        <v>10000</v>
      </c>
      <c r="V82" s="162">
        <v>10000</v>
      </c>
      <c r="W82" s="162">
        <v>10000</v>
      </c>
      <c r="X82" s="162">
        <v>10000</v>
      </c>
      <c r="Y82" s="162">
        <v>10000</v>
      </c>
      <c r="Z82" s="162">
        <v>10000</v>
      </c>
      <c r="AA82" s="162">
        <v>10000</v>
      </c>
      <c r="AB82" s="162">
        <v>10000</v>
      </c>
      <c r="AC82" s="162">
        <v>10000</v>
      </c>
      <c r="AD82" s="162">
        <v>10000</v>
      </c>
      <c r="AE82" s="163">
        <f>SUM(T82:AD82)</f>
        <v>110000</v>
      </c>
      <c r="AF82" s="24" t="s">
        <v>130</v>
      </c>
    </row>
    <row r="83" spans="1:32" ht="28.8" x14ac:dyDescent="0.3">
      <c r="A83" s="1094"/>
      <c r="B83" s="1167"/>
      <c r="C83" s="1081"/>
      <c r="D83" s="2" t="s">
        <v>164</v>
      </c>
      <c r="E83" s="23">
        <f>+S83+AE83</f>
        <v>213000</v>
      </c>
      <c r="F83" s="23"/>
      <c r="G83" s="82">
        <f t="shared" si="52"/>
        <v>213000</v>
      </c>
      <c r="H83" s="545">
        <v>9000</v>
      </c>
      <c r="I83" s="545">
        <v>9000</v>
      </c>
      <c r="J83" s="535">
        <v>9000</v>
      </c>
      <c r="K83" s="535">
        <v>9000</v>
      </c>
      <c r="L83" s="535">
        <v>9000</v>
      </c>
      <c r="M83" s="535">
        <v>9000</v>
      </c>
      <c r="N83" s="535">
        <v>9000</v>
      </c>
      <c r="O83" s="162">
        <v>10000</v>
      </c>
      <c r="P83" s="162">
        <v>10000</v>
      </c>
      <c r="Q83" s="162">
        <v>10000</v>
      </c>
      <c r="R83" s="162">
        <v>10000</v>
      </c>
      <c r="S83" s="22">
        <f>SUM(H83:R83)</f>
        <v>103000</v>
      </c>
      <c r="T83" s="162">
        <v>10000</v>
      </c>
      <c r="U83" s="162">
        <v>10000</v>
      </c>
      <c r="V83" s="162">
        <v>10000</v>
      </c>
      <c r="W83" s="162">
        <v>10000</v>
      </c>
      <c r="X83" s="162">
        <v>10000</v>
      </c>
      <c r="Y83" s="162">
        <v>10000</v>
      </c>
      <c r="Z83" s="162">
        <v>10000</v>
      </c>
      <c r="AA83" s="162">
        <v>10000</v>
      </c>
      <c r="AB83" s="162">
        <v>10000</v>
      </c>
      <c r="AC83" s="162">
        <v>10000</v>
      </c>
      <c r="AD83" s="162">
        <v>10000</v>
      </c>
      <c r="AE83" s="163">
        <f>SUM(T83:AD83)</f>
        <v>110000</v>
      </c>
      <c r="AF83" s="24" t="s">
        <v>130</v>
      </c>
    </row>
    <row r="84" spans="1:32" ht="28.95" customHeight="1" x14ac:dyDescent="0.3">
      <c r="A84" s="1094"/>
      <c r="B84" s="1168"/>
      <c r="C84" s="1082"/>
      <c r="D84" s="2" t="s">
        <v>168</v>
      </c>
      <c r="E84" s="23">
        <f>+S84+AE84</f>
        <v>213000</v>
      </c>
      <c r="F84" s="23"/>
      <c r="G84" s="82">
        <f t="shared" si="52"/>
        <v>213000</v>
      </c>
      <c r="H84" s="545">
        <v>9000</v>
      </c>
      <c r="I84" s="545">
        <v>9000</v>
      </c>
      <c r="J84" s="535">
        <v>9000</v>
      </c>
      <c r="K84" s="535">
        <v>9000</v>
      </c>
      <c r="L84" s="535">
        <v>9000</v>
      </c>
      <c r="M84" s="535">
        <v>9000</v>
      </c>
      <c r="N84" s="535">
        <v>9000</v>
      </c>
      <c r="O84" s="162">
        <v>10000</v>
      </c>
      <c r="P84" s="162">
        <v>10000</v>
      </c>
      <c r="Q84" s="162">
        <v>10000</v>
      </c>
      <c r="R84" s="162">
        <v>10000</v>
      </c>
      <c r="S84" s="22">
        <f>SUM(H84:R84)</f>
        <v>103000</v>
      </c>
      <c r="T84" s="162">
        <v>10000</v>
      </c>
      <c r="U84" s="162">
        <v>10000</v>
      </c>
      <c r="V84" s="162">
        <v>10000</v>
      </c>
      <c r="W84" s="162">
        <v>10000</v>
      </c>
      <c r="X84" s="162">
        <v>10000</v>
      </c>
      <c r="Y84" s="162">
        <v>10000</v>
      </c>
      <c r="Z84" s="162">
        <v>10000</v>
      </c>
      <c r="AA84" s="162">
        <v>10000</v>
      </c>
      <c r="AB84" s="162">
        <v>10000</v>
      </c>
      <c r="AC84" s="162">
        <v>10000</v>
      </c>
      <c r="AD84" s="162">
        <v>10000</v>
      </c>
      <c r="AE84" s="163">
        <f>SUM(T84:AD84)</f>
        <v>110000</v>
      </c>
      <c r="AF84" s="24" t="s">
        <v>130</v>
      </c>
    </row>
    <row r="85" spans="1:32" s="161" customFormat="1" ht="21" customHeight="1" x14ac:dyDescent="0.3">
      <c r="A85" s="1094" t="s">
        <v>21</v>
      </c>
      <c r="B85" s="789"/>
      <c r="C85" s="790"/>
      <c r="D85" s="791"/>
      <c r="E85" s="792">
        <f>SUM(E86:E90)</f>
        <v>508529.2</v>
      </c>
      <c r="F85" s="792">
        <f>SUM(F86:F90)</f>
        <v>0</v>
      </c>
      <c r="G85" s="792">
        <f t="shared" si="52"/>
        <v>508529.2</v>
      </c>
      <c r="H85" s="792">
        <f>SUM(H86:H90)</f>
        <v>13470</v>
      </c>
      <c r="I85" s="792">
        <f t="shared" ref="I85:AF85" si="57">SUM(I86:I90)</f>
        <v>18059.2</v>
      </c>
      <c r="J85" s="792">
        <f t="shared" si="57"/>
        <v>32000</v>
      </c>
      <c r="K85" s="792">
        <f>SUM(K86:K90)</f>
        <v>52000</v>
      </c>
      <c r="L85" s="792">
        <f t="shared" si="57"/>
        <v>12000</v>
      </c>
      <c r="M85" s="792">
        <f t="shared" si="57"/>
        <v>12000</v>
      </c>
      <c r="N85" s="792">
        <f t="shared" si="57"/>
        <v>12000</v>
      </c>
      <c r="O85" s="792">
        <f t="shared" si="57"/>
        <v>27000</v>
      </c>
      <c r="P85" s="792">
        <f t="shared" si="57"/>
        <v>26000</v>
      </c>
      <c r="Q85" s="792">
        <f t="shared" si="57"/>
        <v>26000</v>
      </c>
      <c r="R85" s="792">
        <f t="shared" si="57"/>
        <v>24000</v>
      </c>
      <c r="S85" s="792">
        <f t="shared" si="57"/>
        <v>254529.2</v>
      </c>
      <c r="T85" s="792">
        <f>SUM(T86:T90)</f>
        <v>0</v>
      </c>
      <c r="U85" s="792">
        <f>SUM(U86:U90)</f>
        <v>52000</v>
      </c>
      <c r="V85" s="792">
        <f t="shared" ref="V85:AD85" si="58">SUM(V86:V90)</f>
        <v>17000</v>
      </c>
      <c r="W85" s="792">
        <f t="shared" si="58"/>
        <v>17000</v>
      </c>
      <c r="X85" s="792">
        <f t="shared" si="58"/>
        <v>29000</v>
      </c>
      <c r="Y85" s="792">
        <f t="shared" si="58"/>
        <v>17000</v>
      </c>
      <c r="Z85" s="792">
        <f t="shared" si="58"/>
        <v>17000</v>
      </c>
      <c r="AA85" s="792">
        <f t="shared" si="58"/>
        <v>17000</v>
      </c>
      <c r="AB85" s="792">
        <f t="shared" si="58"/>
        <v>21000</v>
      </c>
      <c r="AC85" s="792">
        <f t="shared" si="58"/>
        <v>31000</v>
      </c>
      <c r="AD85" s="792">
        <f t="shared" si="58"/>
        <v>36000</v>
      </c>
      <c r="AE85" s="792">
        <f t="shared" si="57"/>
        <v>254000</v>
      </c>
      <c r="AF85" s="792">
        <f t="shared" si="57"/>
        <v>0</v>
      </c>
    </row>
    <row r="86" spans="1:32" ht="32.25" customHeight="1" x14ac:dyDescent="0.3">
      <c r="A86" s="1094"/>
      <c r="B86" s="378" t="s">
        <v>2</v>
      </c>
      <c r="C86" s="3" t="s">
        <v>381</v>
      </c>
      <c r="D86" s="2" t="s">
        <v>383</v>
      </c>
      <c r="E86" s="23">
        <f>+S86+AE86</f>
        <v>178500</v>
      </c>
      <c r="F86" s="23"/>
      <c r="G86" s="82">
        <f t="shared" si="52"/>
        <v>178500</v>
      </c>
      <c r="H86" s="179">
        <v>12500</v>
      </c>
      <c r="I86" s="179">
        <v>8000</v>
      </c>
      <c r="J86" s="540">
        <v>6000</v>
      </c>
      <c r="K86" s="162">
        <v>6000</v>
      </c>
      <c r="L86" s="162">
        <v>6000</v>
      </c>
      <c r="M86" s="162">
        <v>6000</v>
      </c>
      <c r="N86" s="162">
        <v>6000</v>
      </c>
      <c r="O86" s="162">
        <v>6000</v>
      </c>
      <c r="P86" s="162">
        <v>15000</v>
      </c>
      <c r="Q86" s="162">
        <v>15000</v>
      </c>
      <c r="R86" s="162">
        <v>13000</v>
      </c>
      <c r="S86" s="22">
        <f>SUM(H86:R86)</f>
        <v>99500</v>
      </c>
      <c r="T86" s="162"/>
      <c r="U86" s="162">
        <v>6000</v>
      </c>
      <c r="V86" s="162">
        <v>6000</v>
      </c>
      <c r="W86" s="162">
        <v>6000</v>
      </c>
      <c r="X86" s="162">
        <v>8000</v>
      </c>
      <c r="Y86" s="162">
        <v>6000</v>
      </c>
      <c r="Z86" s="162">
        <v>6000</v>
      </c>
      <c r="AA86" s="162">
        <v>6000</v>
      </c>
      <c r="AB86" s="162">
        <v>10000</v>
      </c>
      <c r="AC86" s="162">
        <v>20000</v>
      </c>
      <c r="AD86" s="162">
        <v>5000</v>
      </c>
      <c r="AE86" s="163">
        <f>SUM(T86:AD86)</f>
        <v>79000</v>
      </c>
      <c r="AF86" s="24" t="s">
        <v>130</v>
      </c>
    </row>
    <row r="87" spans="1:32" ht="120" customHeight="1" x14ac:dyDescent="0.3">
      <c r="A87" s="1094"/>
      <c r="B87" s="379" t="s">
        <v>3</v>
      </c>
      <c r="C87" s="2" t="s">
        <v>89</v>
      </c>
      <c r="D87" s="3" t="s">
        <v>172</v>
      </c>
      <c r="E87" s="23">
        <f>+S87+AE87</f>
        <v>204949.2</v>
      </c>
      <c r="F87" s="23"/>
      <c r="G87" s="82">
        <f t="shared" si="52"/>
        <v>204949.2</v>
      </c>
      <c r="H87" s="179">
        <v>375</v>
      </c>
      <c r="I87" s="179">
        <f>9049.2+525</f>
        <v>9574.2000000000007</v>
      </c>
      <c r="J87" s="540">
        <v>10000</v>
      </c>
      <c r="K87" s="162">
        <v>10000</v>
      </c>
      <c r="L87" s="162">
        <v>5000</v>
      </c>
      <c r="M87" s="162">
        <v>5000</v>
      </c>
      <c r="N87" s="162">
        <v>5000</v>
      </c>
      <c r="O87" s="162">
        <v>10000</v>
      </c>
      <c r="P87" s="162">
        <v>10000</v>
      </c>
      <c r="Q87" s="162">
        <v>10000</v>
      </c>
      <c r="R87" s="162">
        <v>10000</v>
      </c>
      <c r="S87" s="22">
        <f>SUM(H87:R87)</f>
        <v>84949.2</v>
      </c>
      <c r="T87" s="162"/>
      <c r="U87" s="162">
        <v>10000</v>
      </c>
      <c r="V87" s="162">
        <v>10000</v>
      </c>
      <c r="W87" s="162">
        <v>10000</v>
      </c>
      <c r="X87" s="162">
        <v>10000</v>
      </c>
      <c r="Y87" s="162">
        <v>10000</v>
      </c>
      <c r="Z87" s="162">
        <v>10000</v>
      </c>
      <c r="AA87" s="162">
        <v>10000</v>
      </c>
      <c r="AB87" s="162">
        <v>10000</v>
      </c>
      <c r="AC87" s="162">
        <v>10000</v>
      </c>
      <c r="AD87" s="162">
        <v>30000</v>
      </c>
      <c r="AE87" s="163">
        <f>SUM(T87:AD87)</f>
        <v>120000</v>
      </c>
      <c r="AF87" s="24" t="s">
        <v>130</v>
      </c>
    </row>
    <row r="88" spans="1:32" ht="45.75" customHeight="1" x14ac:dyDescent="0.3">
      <c r="A88" s="1094"/>
      <c r="B88" s="379" t="s">
        <v>4</v>
      </c>
      <c r="C88" s="46" t="s">
        <v>12</v>
      </c>
      <c r="D88" s="2" t="s">
        <v>382</v>
      </c>
      <c r="E88" s="23">
        <f>+S88+AE88</f>
        <v>20080</v>
      </c>
      <c r="F88" s="23"/>
      <c r="G88" s="82">
        <f t="shared" si="52"/>
        <v>20080</v>
      </c>
      <c r="H88" s="545">
        <v>595</v>
      </c>
      <c r="I88" s="179">
        <f>60+220+205</f>
        <v>485</v>
      </c>
      <c r="J88" s="162">
        <v>1000</v>
      </c>
      <c r="K88" s="162">
        <v>1000</v>
      </c>
      <c r="L88" s="162">
        <v>1000</v>
      </c>
      <c r="M88" s="162">
        <v>1000</v>
      </c>
      <c r="N88" s="162">
        <v>1000</v>
      </c>
      <c r="O88" s="162">
        <v>1000</v>
      </c>
      <c r="P88" s="162">
        <v>1000</v>
      </c>
      <c r="Q88" s="162">
        <v>1000</v>
      </c>
      <c r="R88" s="162">
        <v>1000</v>
      </c>
      <c r="S88" s="22">
        <f>SUM(H88:R88)</f>
        <v>10080</v>
      </c>
      <c r="T88" s="162"/>
      <c r="U88" s="162">
        <v>1000</v>
      </c>
      <c r="V88" s="162">
        <v>1000</v>
      </c>
      <c r="W88" s="162">
        <v>1000</v>
      </c>
      <c r="X88" s="162">
        <v>1000</v>
      </c>
      <c r="Y88" s="162">
        <v>1000</v>
      </c>
      <c r="Z88" s="162">
        <v>1000</v>
      </c>
      <c r="AA88" s="162">
        <v>1000</v>
      </c>
      <c r="AB88" s="162">
        <v>1000</v>
      </c>
      <c r="AC88" s="162">
        <v>1000</v>
      </c>
      <c r="AD88" s="162">
        <v>1000</v>
      </c>
      <c r="AE88" s="163">
        <f>SUM(T88:AD88)</f>
        <v>10000</v>
      </c>
      <c r="AF88" s="24" t="s">
        <v>130</v>
      </c>
    </row>
    <row r="89" spans="1:32" ht="43.2" x14ac:dyDescent="0.3">
      <c r="A89" s="1094"/>
      <c r="B89" s="379" t="s">
        <v>8</v>
      </c>
      <c r="C89" s="46" t="s">
        <v>13</v>
      </c>
      <c r="D89" s="2" t="s">
        <v>13</v>
      </c>
      <c r="E89" s="23">
        <f>+S89+AE89</f>
        <v>65000</v>
      </c>
      <c r="F89" s="23"/>
      <c r="G89" s="82">
        <f t="shared" si="52"/>
        <v>65000</v>
      </c>
      <c r="H89" s="162">
        <v>0</v>
      </c>
      <c r="I89" s="178"/>
      <c r="J89" s="174">
        <v>15000</v>
      </c>
      <c r="K89" s="162">
        <v>15000</v>
      </c>
      <c r="M89" s="162"/>
      <c r="N89" s="162"/>
      <c r="O89" s="162">
        <v>10000</v>
      </c>
      <c r="P89" s="162"/>
      <c r="Q89" s="162"/>
      <c r="R89" s="162"/>
      <c r="S89" s="22">
        <f>SUM(H89:R89)</f>
        <v>40000</v>
      </c>
      <c r="T89" s="162"/>
      <c r="U89" s="162">
        <v>15000</v>
      </c>
      <c r="V89" s="162">
        <v>0</v>
      </c>
      <c r="W89" s="162">
        <v>0</v>
      </c>
      <c r="X89" s="162">
        <v>10000</v>
      </c>
      <c r="Y89" s="162"/>
      <c r="Z89" s="162">
        <v>0</v>
      </c>
      <c r="AA89" s="162">
        <v>0</v>
      </c>
      <c r="AB89" s="162">
        <v>0</v>
      </c>
      <c r="AC89" s="162">
        <v>0</v>
      </c>
      <c r="AD89" s="162">
        <v>0</v>
      </c>
      <c r="AE89" s="163">
        <f>SUM(T89:AD89)</f>
        <v>25000</v>
      </c>
      <c r="AF89" s="24" t="s">
        <v>130</v>
      </c>
    </row>
    <row r="90" spans="1:32" ht="35.25" customHeight="1" x14ac:dyDescent="0.3">
      <c r="A90" s="1094"/>
      <c r="B90" s="379" t="s">
        <v>9</v>
      </c>
      <c r="C90" s="46" t="s">
        <v>15</v>
      </c>
      <c r="D90" s="2" t="s">
        <v>384</v>
      </c>
      <c r="E90" s="23">
        <f>+S90+AE90</f>
        <v>40000</v>
      </c>
      <c r="F90" s="23"/>
      <c r="G90" s="82">
        <f t="shared" si="52"/>
        <v>40000</v>
      </c>
      <c r="H90" s="162">
        <v>0</v>
      </c>
      <c r="I90" s="178"/>
      <c r="J90" s="162">
        <v>0</v>
      </c>
      <c r="K90" s="162">
        <v>20000</v>
      </c>
      <c r="L90" s="162">
        <v>0</v>
      </c>
      <c r="M90" s="162">
        <v>0</v>
      </c>
      <c r="N90" s="162">
        <v>0</v>
      </c>
      <c r="O90" s="162">
        <v>0</v>
      </c>
      <c r="P90" s="162">
        <v>0</v>
      </c>
      <c r="Q90" s="162">
        <v>0</v>
      </c>
      <c r="R90" s="162">
        <v>0</v>
      </c>
      <c r="S90" s="22">
        <f>SUM(H90:R90)</f>
        <v>20000</v>
      </c>
      <c r="T90" s="162">
        <v>0</v>
      </c>
      <c r="U90" s="162">
        <v>20000</v>
      </c>
      <c r="V90" s="162">
        <v>0</v>
      </c>
      <c r="W90" s="162">
        <v>0</v>
      </c>
      <c r="X90" s="162">
        <v>0</v>
      </c>
      <c r="Y90" s="162">
        <v>0</v>
      </c>
      <c r="Z90" s="162">
        <v>0</v>
      </c>
      <c r="AA90" s="162">
        <v>0</v>
      </c>
      <c r="AB90" s="162">
        <v>0</v>
      </c>
      <c r="AC90" s="162">
        <v>0</v>
      </c>
      <c r="AD90" s="162">
        <v>0</v>
      </c>
      <c r="AE90" s="163">
        <f>SUM(T90:AD90)</f>
        <v>20000</v>
      </c>
      <c r="AF90" s="24" t="s">
        <v>130</v>
      </c>
    </row>
    <row r="91" spans="1:32" s="161" customFormat="1" ht="23.25" customHeight="1" x14ac:dyDescent="0.3">
      <c r="A91" s="1075" t="s">
        <v>14</v>
      </c>
      <c r="B91" s="393"/>
      <c r="C91" s="394"/>
      <c r="D91" s="392"/>
      <c r="E91" s="391">
        <f>SUM(E92:E93)</f>
        <v>178502.05</v>
      </c>
      <c r="F91" s="391">
        <f>SUM(F92:F93)</f>
        <v>0</v>
      </c>
      <c r="G91" s="391">
        <f t="shared" ref="G91:G96" si="59">+E91+F91</f>
        <v>178502.05</v>
      </c>
      <c r="H91" s="391">
        <f>SUM(H92:H93)</f>
        <v>0</v>
      </c>
      <c r="I91" s="391">
        <f t="shared" ref="I91:AE91" si="60">SUM(I92:I93)</f>
        <v>5150</v>
      </c>
      <c r="J91" s="391">
        <f>SUM(J92:J93)</f>
        <v>6000</v>
      </c>
      <c r="K91" s="391">
        <f t="shared" si="60"/>
        <v>6000</v>
      </c>
      <c r="L91" s="391">
        <f t="shared" si="60"/>
        <v>0</v>
      </c>
      <c r="M91" s="391">
        <f t="shared" si="60"/>
        <v>0</v>
      </c>
      <c r="N91" s="391">
        <f t="shared" si="60"/>
        <v>5000</v>
      </c>
      <c r="O91" s="391">
        <f t="shared" si="60"/>
        <v>15000</v>
      </c>
      <c r="P91" s="391">
        <f t="shared" si="60"/>
        <v>11000</v>
      </c>
      <c r="Q91" s="391">
        <f t="shared" si="60"/>
        <v>27352.05</v>
      </c>
      <c r="R91" s="391">
        <f t="shared" si="60"/>
        <v>0</v>
      </c>
      <c r="S91" s="391">
        <f t="shared" si="60"/>
        <v>75502.05</v>
      </c>
      <c r="T91" s="391">
        <f t="shared" si="60"/>
        <v>0</v>
      </c>
      <c r="U91" s="391">
        <f t="shared" si="60"/>
        <v>35000</v>
      </c>
      <c r="V91" s="391">
        <f t="shared" si="60"/>
        <v>5000</v>
      </c>
      <c r="W91" s="391">
        <f t="shared" si="60"/>
        <v>5000</v>
      </c>
      <c r="X91" s="391">
        <f t="shared" si="60"/>
        <v>5000</v>
      </c>
      <c r="Y91" s="391">
        <f t="shared" si="60"/>
        <v>15000</v>
      </c>
      <c r="Z91" s="391">
        <f t="shared" si="60"/>
        <v>5000</v>
      </c>
      <c r="AA91" s="391">
        <f t="shared" si="60"/>
        <v>3000</v>
      </c>
      <c r="AB91" s="391">
        <f t="shared" si="60"/>
        <v>25000</v>
      </c>
      <c r="AC91" s="391">
        <f t="shared" si="60"/>
        <v>0</v>
      </c>
      <c r="AD91" s="391">
        <f t="shared" si="60"/>
        <v>5000</v>
      </c>
      <c r="AE91" s="391">
        <f t="shared" si="60"/>
        <v>103000</v>
      </c>
      <c r="AF91" s="395"/>
    </row>
    <row r="92" spans="1:32" ht="61.2" customHeight="1" x14ac:dyDescent="0.3">
      <c r="A92" s="1076"/>
      <c r="B92" s="1" t="s">
        <v>2</v>
      </c>
      <c r="C92" s="2" t="s">
        <v>16</v>
      </c>
      <c r="D92" s="2" t="s">
        <v>11</v>
      </c>
      <c r="E92" s="23">
        <f>+S92+AE92</f>
        <v>80650</v>
      </c>
      <c r="F92" s="23"/>
      <c r="G92" s="82">
        <f t="shared" si="59"/>
        <v>80650</v>
      </c>
      <c r="H92" s="542">
        <v>0</v>
      </c>
      <c r="I92" s="543">
        <v>1650</v>
      </c>
      <c r="J92" s="162">
        <v>3000</v>
      </c>
      <c r="K92" s="162">
        <v>3000</v>
      </c>
      <c r="L92" s="162"/>
      <c r="M92" s="162"/>
      <c r="N92" s="162">
        <v>5000</v>
      </c>
      <c r="O92" s="162">
        <v>5000</v>
      </c>
      <c r="P92" s="162">
        <v>5000</v>
      </c>
      <c r="Q92" s="162">
        <v>5000</v>
      </c>
      <c r="R92" s="162">
        <v>0</v>
      </c>
      <c r="S92" s="22">
        <f>SUM(H92:R92)</f>
        <v>27650</v>
      </c>
      <c r="T92" s="162"/>
      <c r="U92" s="162">
        <v>15000</v>
      </c>
      <c r="V92" s="162">
        <v>5000</v>
      </c>
      <c r="W92" s="162">
        <v>5000</v>
      </c>
      <c r="X92" s="162">
        <v>5000</v>
      </c>
      <c r="Y92" s="162">
        <v>5000</v>
      </c>
      <c r="Z92" s="162">
        <v>5000</v>
      </c>
      <c r="AA92" s="162">
        <v>3000</v>
      </c>
      <c r="AB92" s="162">
        <v>5000</v>
      </c>
      <c r="AC92" s="162"/>
      <c r="AD92" s="162">
        <v>5000</v>
      </c>
      <c r="AE92" s="163">
        <f>SUM(T92:AD92)</f>
        <v>53000</v>
      </c>
      <c r="AF92" s="24" t="s">
        <v>130</v>
      </c>
    </row>
    <row r="93" spans="1:32" ht="57.6" customHeight="1" x14ac:dyDescent="0.3">
      <c r="A93" s="1077"/>
      <c r="B93" s="379" t="s">
        <v>3</v>
      </c>
      <c r="C93" s="46" t="s">
        <v>11</v>
      </c>
      <c r="D93" s="2" t="s">
        <v>16</v>
      </c>
      <c r="E93" s="23">
        <f>+S93+AE93</f>
        <v>97852.05</v>
      </c>
      <c r="F93" s="23"/>
      <c r="G93" s="82">
        <f t="shared" si="59"/>
        <v>97852.05</v>
      </c>
      <c r="H93" s="542"/>
      <c r="I93" s="543">
        <v>3500</v>
      </c>
      <c r="J93" s="162">
        <v>3000</v>
      </c>
      <c r="K93" s="162">
        <v>3000</v>
      </c>
      <c r="L93" s="162"/>
      <c r="M93" s="162"/>
      <c r="N93" s="162"/>
      <c r="O93" s="162">
        <v>10000</v>
      </c>
      <c r="P93" s="162">
        <v>6000</v>
      </c>
      <c r="Q93" s="162">
        <v>22352.05</v>
      </c>
      <c r="R93" s="162"/>
      <c r="S93" s="22">
        <f>SUM(H93:R93)</f>
        <v>47852.05</v>
      </c>
      <c r="T93" s="162"/>
      <c r="U93" s="162">
        <v>20000</v>
      </c>
      <c r="V93" s="162"/>
      <c r="W93" s="162"/>
      <c r="X93" s="162"/>
      <c r="Y93" s="162">
        <v>10000</v>
      </c>
      <c r="Z93" s="162"/>
      <c r="AA93" s="162"/>
      <c r="AB93" s="162">
        <v>20000</v>
      </c>
      <c r="AC93" s="162"/>
      <c r="AD93" s="162"/>
      <c r="AE93" s="163">
        <f>SUM(T93:AD93)</f>
        <v>50000</v>
      </c>
      <c r="AF93" s="24" t="s">
        <v>130</v>
      </c>
    </row>
    <row r="94" spans="1:32" s="161" customFormat="1" ht="24" customHeight="1" x14ac:dyDescent="0.3">
      <c r="A94" s="1094" t="s">
        <v>385</v>
      </c>
      <c r="B94" s="175"/>
      <c r="C94" s="176"/>
      <c r="D94" s="177"/>
      <c r="E94" s="166">
        <f>+E95</f>
        <v>520560.6</v>
      </c>
      <c r="F94" s="166">
        <f>+F95</f>
        <v>0</v>
      </c>
      <c r="G94" s="166">
        <f t="shared" si="59"/>
        <v>520560.6</v>
      </c>
      <c r="H94" s="166">
        <f>+H95</f>
        <v>720</v>
      </c>
      <c r="I94" s="166">
        <f t="shared" ref="I94:AE94" si="61">+I95</f>
        <v>19530</v>
      </c>
      <c r="J94" s="166">
        <f t="shared" si="61"/>
        <v>94440.6</v>
      </c>
      <c r="K94" s="166">
        <f t="shared" si="61"/>
        <v>3000</v>
      </c>
      <c r="L94" s="166">
        <f t="shared" si="61"/>
        <v>3000</v>
      </c>
      <c r="M94" s="166">
        <f t="shared" si="61"/>
        <v>30000</v>
      </c>
      <c r="N94" s="166">
        <f t="shared" si="61"/>
        <v>3000</v>
      </c>
      <c r="O94" s="166">
        <f t="shared" si="61"/>
        <v>52927.09</v>
      </c>
      <c r="P94" s="166">
        <f t="shared" si="61"/>
        <v>3000</v>
      </c>
      <c r="Q94" s="166">
        <f t="shared" si="61"/>
        <v>23000</v>
      </c>
      <c r="R94" s="166">
        <f t="shared" si="61"/>
        <v>42542.91</v>
      </c>
      <c r="S94" s="166">
        <f t="shared" si="61"/>
        <v>275160.59999999998</v>
      </c>
      <c r="T94" s="166">
        <f t="shared" si="61"/>
        <v>0</v>
      </c>
      <c r="U94" s="166">
        <f t="shared" si="61"/>
        <v>50000</v>
      </c>
      <c r="V94" s="166">
        <f t="shared" si="61"/>
        <v>23000</v>
      </c>
      <c r="W94" s="166">
        <f t="shared" si="61"/>
        <v>3000</v>
      </c>
      <c r="X94" s="166">
        <f t="shared" si="61"/>
        <v>45400</v>
      </c>
      <c r="Y94" s="166">
        <f t="shared" si="61"/>
        <v>3000</v>
      </c>
      <c r="Z94" s="166">
        <f t="shared" si="61"/>
        <v>23000</v>
      </c>
      <c r="AA94" s="166">
        <f t="shared" si="61"/>
        <v>39000</v>
      </c>
      <c r="AB94" s="166">
        <f t="shared" si="61"/>
        <v>3000</v>
      </c>
      <c r="AC94" s="166">
        <f t="shared" si="61"/>
        <v>55000</v>
      </c>
      <c r="AD94" s="166">
        <f t="shared" si="61"/>
        <v>1000</v>
      </c>
      <c r="AE94" s="166">
        <f t="shared" si="61"/>
        <v>245400</v>
      </c>
      <c r="AF94" s="166"/>
    </row>
    <row r="95" spans="1:32" s="58" customFormat="1" ht="23.25" customHeight="1" x14ac:dyDescent="0.3">
      <c r="A95" s="1094"/>
      <c r="B95" s="388"/>
      <c r="C95" s="389"/>
      <c r="D95" s="165"/>
      <c r="E95" s="25">
        <f>SUM(E96:E99)</f>
        <v>520560.6</v>
      </c>
      <c r="F95" s="25">
        <f>SUM(F96:F99)</f>
        <v>0</v>
      </c>
      <c r="G95" s="25">
        <f t="shared" si="59"/>
        <v>520560.6</v>
      </c>
      <c r="H95" s="25">
        <f>SUM(H96:H99)</f>
        <v>720</v>
      </c>
      <c r="I95" s="25">
        <f>SUM(I96:I99)</f>
        <v>19530</v>
      </c>
      <c r="J95" s="25">
        <f>SUM(J96:J99)</f>
        <v>94440.6</v>
      </c>
      <c r="K95" s="25">
        <f t="shared" ref="K95:AE95" si="62">SUM(K96:K99)</f>
        <v>3000</v>
      </c>
      <c r="L95" s="25">
        <f t="shared" si="62"/>
        <v>3000</v>
      </c>
      <c r="M95" s="25">
        <f t="shared" si="62"/>
        <v>30000</v>
      </c>
      <c r="N95" s="25">
        <f t="shared" si="62"/>
        <v>3000</v>
      </c>
      <c r="O95" s="25">
        <f t="shared" si="62"/>
        <v>52927.09</v>
      </c>
      <c r="P95" s="25">
        <f t="shared" si="62"/>
        <v>3000</v>
      </c>
      <c r="Q95" s="25">
        <f t="shared" si="62"/>
        <v>23000</v>
      </c>
      <c r="R95" s="25">
        <f t="shared" si="62"/>
        <v>42542.91</v>
      </c>
      <c r="S95" s="25">
        <f t="shared" si="62"/>
        <v>275160.59999999998</v>
      </c>
      <c r="T95" s="25">
        <f t="shared" si="62"/>
        <v>0</v>
      </c>
      <c r="U95" s="25">
        <f t="shared" si="62"/>
        <v>50000</v>
      </c>
      <c r="V95" s="25">
        <f>SUM(V96:V99)</f>
        <v>23000</v>
      </c>
      <c r="W95" s="25">
        <f t="shared" si="62"/>
        <v>3000</v>
      </c>
      <c r="X95" s="25">
        <f t="shared" si="62"/>
        <v>45400</v>
      </c>
      <c r="Y95" s="25">
        <f t="shared" si="62"/>
        <v>3000</v>
      </c>
      <c r="Z95" s="25">
        <f t="shared" si="62"/>
        <v>23000</v>
      </c>
      <c r="AA95" s="25">
        <f t="shared" si="62"/>
        <v>39000</v>
      </c>
      <c r="AB95" s="25">
        <f t="shared" si="62"/>
        <v>3000</v>
      </c>
      <c r="AC95" s="25">
        <f t="shared" si="62"/>
        <v>55000</v>
      </c>
      <c r="AD95" s="25">
        <f t="shared" si="62"/>
        <v>1000</v>
      </c>
      <c r="AE95" s="25">
        <f t="shared" si="62"/>
        <v>245400</v>
      </c>
      <c r="AF95" s="25"/>
    </row>
    <row r="96" spans="1:32" ht="38.25" customHeight="1" x14ac:dyDescent="0.3">
      <c r="A96" s="1094"/>
      <c r="B96" s="1" t="s">
        <v>2</v>
      </c>
      <c r="C96" s="3" t="s">
        <v>170</v>
      </c>
      <c r="D96" s="3" t="s">
        <v>170</v>
      </c>
      <c r="E96" s="23">
        <f>+S96+AE96</f>
        <v>191840.6</v>
      </c>
      <c r="F96" s="23"/>
      <c r="G96" s="82">
        <f t="shared" si="59"/>
        <v>191840.6</v>
      </c>
      <c r="H96" s="539"/>
      <c r="I96" s="546">
        <v>1530</v>
      </c>
      <c r="J96" s="715">
        <f>40000+24440.6</f>
        <v>64440.6</v>
      </c>
      <c r="K96" s="162">
        <v>1000</v>
      </c>
      <c r="L96" s="162">
        <v>1000</v>
      </c>
      <c r="M96" s="162">
        <v>10000</v>
      </c>
      <c r="N96" s="162">
        <v>1000</v>
      </c>
      <c r="O96" s="162">
        <v>14470</v>
      </c>
      <c r="P96" s="162">
        <v>1000</v>
      </c>
      <c r="Q96" s="162">
        <v>1000</v>
      </c>
      <c r="R96" s="162">
        <v>16000</v>
      </c>
      <c r="S96" s="22">
        <f>SUM(H96:R96)</f>
        <v>111440.6</v>
      </c>
      <c r="T96" s="162"/>
      <c r="U96" s="162">
        <v>25000</v>
      </c>
      <c r="V96" s="162">
        <v>1000</v>
      </c>
      <c r="W96" s="162">
        <v>1000</v>
      </c>
      <c r="X96" s="162">
        <v>20400</v>
      </c>
      <c r="Y96" s="162">
        <v>1000</v>
      </c>
      <c r="Z96" s="162">
        <v>1000</v>
      </c>
      <c r="AA96" s="162">
        <v>15000</v>
      </c>
      <c r="AB96" s="162">
        <v>1000</v>
      </c>
      <c r="AC96" s="162">
        <v>15000</v>
      </c>
      <c r="AD96" s="162"/>
      <c r="AE96" s="163">
        <f>SUM(T96:AD96)</f>
        <v>80400</v>
      </c>
      <c r="AF96" s="24" t="s">
        <v>130</v>
      </c>
    </row>
    <row r="97" spans="1:32" ht="38.25" customHeight="1" x14ac:dyDescent="0.3">
      <c r="A97" s="1094"/>
      <c r="B97" s="1" t="s">
        <v>3</v>
      </c>
      <c r="C97" s="2" t="s">
        <v>88</v>
      </c>
      <c r="D97" s="2" t="s">
        <v>88</v>
      </c>
      <c r="E97" s="23">
        <f>+S97+AE97</f>
        <v>119000</v>
      </c>
      <c r="F97" s="23"/>
      <c r="G97" s="82">
        <f t="shared" ref="G97:G107" si="63">+E97+F97</f>
        <v>119000</v>
      </c>
      <c r="H97" s="539"/>
      <c r="I97" s="178"/>
      <c r="J97" s="162">
        <v>15000</v>
      </c>
      <c r="K97" s="162">
        <v>1000</v>
      </c>
      <c r="L97" s="162">
        <v>1000</v>
      </c>
      <c r="M97" s="162">
        <v>10000</v>
      </c>
      <c r="N97" s="162">
        <v>1000</v>
      </c>
      <c r="O97" s="162">
        <v>14000</v>
      </c>
      <c r="P97" s="162">
        <v>1000</v>
      </c>
      <c r="Q97" s="162">
        <v>1000</v>
      </c>
      <c r="R97" s="162">
        <v>16000</v>
      </c>
      <c r="S97" s="22">
        <f>SUM(H97:R97)</f>
        <v>60000</v>
      </c>
      <c r="T97" s="162"/>
      <c r="U97" s="162">
        <v>15000</v>
      </c>
      <c r="V97" s="162">
        <v>1000</v>
      </c>
      <c r="W97" s="162">
        <v>1000</v>
      </c>
      <c r="X97" s="162">
        <v>15000</v>
      </c>
      <c r="Y97" s="162">
        <v>1000</v>
      </c>
      <c r="Z97" s="162">
        <v>1000</v>
      </c>
      <c r="AA97" s="162">
        <v>12000</v>
      </c>
      <c r="AB97" s="162">
        <v>1000</v>
      </c>
      <c r="AC97" s="162">
        <v>12000</v>
      </c>
      <c r="AD97" s="162"/>
      <c r="AE97" s="163">
        <f>SUM(T97:AD97)</f>
        <v>59000</v>
      </c>
      <c r="AF97" s="24" t="s">
        <v>130</v>
      </c>
    </row>
    <row r="98" spans="1:32" ht="83.25" customHeight="1" x14ac:dyDescent="0.3">
      <c r="A98" s="1094"/>
      <c r="B98" s="1" t="s">
        <v>4</v>
      </c>
      <c r="C98" s="3" t="s">
        <v>595</v>
      </c>
      <c r="D98" s="3" t="s">
        <v>171</v>
      </c>
      <c r="E98" s="23">
        <f>+S98+AE98</f>
        <v>95720</v>
      </c>
      <c r="F98" s="23"/>
      <c r="G98" s="82">
        <f t="shared" si="63"/>
        <v>95720</v>
      </c>
      <c r="H98" s="179">
        <v>720</v>
      </c>
      <c r="I98" s="178"/>
      <c r="J98" s="540">
        <v>15000</v>
      </c>
      <c r="K98" s="162">
        <v>1000</v>
      </c>
      <c r="L98" s="162">
        <v>1000</v>
      </c>
      <c r="M98" s="162">
        <v>10000</v>
      </c>
      <c r="N98" s="162">
        <v>1000</v>
      </c>
      <c r="O98" s="162">
        <f>7000-542.91</f>
        <v>6457.09</v>
      </c>
      <c r="P98" s="162">
        <v>1000</v>
      </c>
      <c r="Q98" s="162">
        <v>1000</v>
      </c>
      <c r="R98" s="162">
        <f>10000+542.91</f>
        <v>10542.91</v>
      </c>
      <c r="S98" s="22">
        <f>SUM(H98:R98)</f>
        <v>47720</v>
      </c>
      <c r="T98" s="162"/>
      <c r="U98" s="162">
        <v>10000</v>
      </c>
      <c r="V98" s="162">
        <v>1000</v>
      </c>
      <c r="W98" s="162">
        <v>1000</v>
      </c>
      <c r="X98" s="162">
        <v>10000</v>
      </c>
      <c r="Y98" s="162">
        <v>1000</v>
      </c>
      <c r="Z98" s="162">
        <v>1000</v>
      </c>
      <c r="AA98" s="162">
        <v>12000</v>
      </c>
      <c r="AB98" s="162">
        <v>1000</v>
      </c>
      <c r="AC98" s="162">
        <v>10000</v>
      </c>
      <c r="AD98" s="162">
        <v>1000</v>
      </c>
      <c r="AE98" s="163">
        <f>SUM(T98:AD98)</f>
        <v>48000</v>
      </c>
      <c r="AF98" s="24" t="s">
        <v>130</v>
      </c>
    </row>
    <row r="99" spans="1:32" ht="34.5" customHeight="1" x14ac:dyDescent="0.3">
      <c r="A99" s="1094"/>
      <c r="B99" s="1" t="s">
        <v>8</v>
      </c>
      <c r="C99" s="2" t="s">
        <v>18</v>
      </c>
      <c r="D99" s="2" t="s">
        <v>18</v>
      </c>
      <c r="E99" s="23">
        <f>+S99+AE99</f>
        <v>114000</v>
      </c>
      <c r="F99" s="23"/>
      <c r="G99" s="82">
        <f t="shared" si="63"/>
        <v>114000</v>
      </c>
      <c r="H99" s="179"/>
      <c r="I99" s="538">
        <v>18000</v>
      </c>
      <c r="J99" s="162"/>
      <c r="K99" s="540"/>
      <c r="L99" s="162"/>
      <c r="M99" s="540"/>
      <c r="N99" s="162"/>
      <c r="O99" s="162">
        <v>18000</v>
      </c>
      <c r="P99" s="162"/>
      <c r="Q99" s="162">
        <v>20000</v>
      </c>
      <c r="R99" s="162"/>
      <c r="S99" s="22">
        <f>SUM(H99:R99)</f>
        <v>56000</v>
      </c>
      <c r="T99" s="162"/>
      <c r="U99" s="162"/>
      <c r="V99" s="162">
        <v>20000</v>
      </c>
      <c r="W99" s="162"/>
      <c r="X99" s="162"/>
      <c r="Y99" s="162"/>
      <c r="Z99" s="162">
        <v>20000</v>
      </c>
      <c r="AA99" s="162"/>
      <c r="AB99" s="162"/>
      <c r="AC99" s="162">
        <v>18000</v>
      </c>
      <c r="AD99" s="162"/>
      <c r="AE99" s="163">
        <f>SUM(T99:AD99)</f>
        <v>58000</v>
      </c>
      <c r="AF99" s="24" t="s">
        <v>130</v>
      </c>
    </row>
    <row r="100" spans="1:32" s="171" customFormat="1" ht="37.5" customHeight="1" x14ac:dyDescent="0.3">
      <c r="A100" s="147" t="s">
        <v>26</v>
      </c>
      <c r="B100" s="167"/>
      <c r="C100" s="168"/>
      <c r="D100" s="169"/>
      <c r="E100" s="170">
        <f>+E102</f>
        <v>1198000</v>
      </c>
      <c r="F100" s="170">
        <f>+F102</f>
        <v>0</v>
      </c>
      <c r="G100" s="170">
        <f t="shared" si="63"/>
        <v>1198000</v>
      </c>
      <c r="H100" s="170">
        <f t="shared" ref="H100:R100" si="64">+H102</f>
        <v>18000</v>
      </c>
      <c r="I100" s="170">
        <f t="shared" si="64"/>
        <v>18000</v>
      </c>
      <c r="J100" s="170">
        <f t="shared" si="64"/>
        <v>23000</v>
      </c>
      <c r="K100" s="170">
        <f t="shared" si="64"/>
        <v>75100</v>
      </c>
      <c r="L100" s="170">
        <f t="shared" si="64"/>
        <v>76500</v>
      </c>
      <c r="M100" s="170">
        <f t="shared" si="64"/>
        <v>52400</v>
      </c>
      <c r="N100" s="170">
        <f t="shared" si="64"/>
        <v>32000</v>
      </c>
      <c r="O100" s="170">
        <f t="shared" si="64"/>
        <v>42000</v>
      </c>
      <c r="P100" s="170">
        <f t="shared" si="64"/>
        <v>42000</v>
      </c>
      <c r="Q100" s="170">
        <f t="shared" si="64"/>
        <v>132000</v>
      </c>
      <c r="R100" s="170">
        <f t="shared" si="64"/>
        <v>42000</v>
      </c>
      <c r="S100" s="170">
        <f>+S102</f>
        <v>553000</v>
      </c>
      <c r="T100" s="170">
        <f>+T102+T108</f>
        <v>32000</v>
      </c>
      <c r="U100" s="170">
        <f>+U102</f>
        <v>42000</v>
      </c>
      <c r="V100" s="170">
        <f t="shared" ref="V100:AE100" si="65">+V102</f>
        <v>37000</v>
      </c>
      <c r="W100" s="170">
        <f t="shared" si="65"/>
        <v>37000</v>
      </c>
      <c r="X100" s="170">
        <f t="shared" si="65"/>
        <v>37000</v>
      </c>
      <c r="Y100" s="170">
        <f t="shared" si="65"/>
        <v>37000</v>
      </c>
      <c r="Z100" s="170">
        <f t="shared" si="65"/>
        <v>37000</v>
      </c>
      <c r="AA100" s="170">
        <f t="shared" si="65"/>
        <v>37000</v>
      </c>
      <c r="AB100" s="170">
        <f t="shared" si="65"/>
        <v>37000</v>
      </c>
      <c r="AC100" s="170">
        <f t="shared" si="65"/>
        <v>37000</v>
      </c>
      <c r="AD100" s="170">
        <f t="shared" si="65"/>
        <v>275000</v>
      </c>
      <c r="AE100" s="170">
        <f t="shared" si="65"/>
        <v>645000</v>
      </c>
      <c r="AF100" s="170"/>
    </row>
    <row r="101" spans="1:32" ht="30.75" customHeight="1" x14ac:dyDescent="0.3">
      <c r="A101" s="1162" t="s">
        <v>27</v>
      </c>
      <c r="B101" s="1163"/>
      <c r="C101" s="1164"/>
      <c r="D101" s="153"/>
      <c r="E101" s="19">
        <v>0</v>
      </c>
      <c r="F101" s="19">
        <v>0</v>
      </c>
      <c r="G101" s="19">
        <f t="shared" si="63"/>
        <v>0</v>
      </c>
      <c r="H101" s="154"/>
      <c r="I101" s="154"/>
      <c r="J101" s="154"/>
      <c r="K101" s="154"/>
      <c r="L101" s="154"/>
      <c r="M101" s="154"/>
      <c r="N101" s="154"/>
      <c r="O101" s="154"/>
      <c r="P101" s="154"/>
      <c r="Q101" s="154"/>
      <c r="R101" s="154"/>
      <c r="S101" s="65"/>
      <c r="T101" s="154"/>
      <c r="U101" s="154"/>
      <c r="V101" s="154"/>
      <c r="W101" s="154"/>
      <c r="X101" s="154"/>
      <c r="Y101" s="154"/>
      <c r="Z101" s="154"/>
      <c r="AA101" s="154"/>
      <c r="AB101" s="154"/>
      <c r="AC101" s="154"/>
      <c r="AD101" s="154"/>
      <c r="AE101" s="19"/>
      <c r="AF101" s="26"/>
    </row>
    <row r="102" spans="1:32" s="58" customFormat="1" ht="30.75" customHeight="1" x14ac:dyDescent="0.3">
      <c r="A102" s="1165" t="s">
        <v>28</v>
      </c>
      <c r="B102" s="1165"/>
      <c r="C102" s="1165"/>
      <c r="D102" s="155"/>
      <c r="E102" s="20">
        <f>+E103+E108</f>
        <v>1198000</v>
      </c>
      <c r="F102" s="20">
        <f>+F103+F108</f>
        <v>0</v>
      </c>
      <c r="G102" s="20">
        <f t="shared" si="63"/>
        <v>1198000</v>
      </c>
      <c r="H102" s="20">
        <f t="shared" ref="H102:AE102" si="66">+H103+H108</f>
        <v>18000</v>
      </c>
      <c r="I102" s="20">
        <f t="shared" si="66"/>
        <v>18000</v>
      </c>
      <c r="J102" s="20">
        <f t="shared" si="66"/>
        <v>23000</v>
      </c>
      <c r="K102" s="20">
        <f t="shared" si="66"/>
        <v>75100</v>
      </c>
      <c r="L102" s="20">
        <f t="shared" si="66"/>
        <v>76500</v>
      </c>
      <c r="M102" s="20">
        <f t="shared" si="66"/>
        <v>52400</v>
      </c>
      <c r="N102" s="20">
        <f t="shared" si="66"/>
        <v>32000</v>
      </c>
      <c r="O102" s="20">
        <f t="shared" si="66"/>
        <v>42000</v>
      </c>
      <c r="P102" s="20">
        <f t="shared" si="66"/>
        <v>42000</v>
      </c>
      <c r="Q102" s="20">
        <f t="shared" si="66"/>
        <v>132000</v>
      </c>
      <c r="R102" s="20">
        <f t="shared" si="66"/>
        <v>42000</v>
      </c>
      <c r="S102" s="20">
        <f t="shared" si="66"/>
        <v>553000</v>
      </c>
      <c r="T102" s="20">
        <f t="shared" si="66"/>
        <v>32000</v>
      </c>
      <c r="U102" s="20">
        <f t="shared" si="66"/>
        <v>42000</v>
      </c>
      <c r="V102" s="20">
        <f t="shared" si="66"/>
        <v>37000</v>
      </c>
      <c r="W102" s="20">
        <f t="shared" si="66"/>
        <v>37000</v>
      </c>
      <c r="X102" s="20">
        <f t="shared" si="66"/>
        <v>37000</v>
      </c>
      <c r="Y102" s="20">
        <f t="shared" si="66"/>
        <v>37000</v>
      </c>
      <c r="Z102" s="20">
        <f t="shared" si="66"/>
        <v>37000</v>
      </c>
      <c r="AA102" s="20">
        <f t="shared" si="66"/>
        <v>37000</v>
      </c>
      <c r="AB102" s="20">
        <f t="shared" si="66"/>
        <v>37000</v>
      </c>
      <c r="AC102" s="20">
        <f t="shared" si="66"/>
        <v>37000</v>
      </c>
      <c r="AD102" s="20">
        <f t="shared" si="66"/>
        <v>275000</v>
      </c>
      <c r="AE102" s="20">
        <f t="shared" si="66"/>
        <v>645000</v>
      </c>
      <c r="AF102" s="20"/>
    </row>
    <row r="103" spans="1:32" s="161" customFormat="1" ht="25.5" customHeight="1" x14ac:dyDescent="0.3">
      <c r="A103" s="1075" t="s">
        <v>173</v>
      </c>
      <c r="B103" s="396"/>
      <c r="C103" s="397"/>
      <c r="D103" s="157"/>
      <c r="E103" s="391">
        <f>SUM(E104:E107)</f>
        <v>838000</v>
      </c>
      <c r="F103" s="391">
        <f>SUM(F104:F107)</f>
        <v>0</v>
      </c>
      <c r="G103" s="391">
        <f t="shared" si="63"/>
        <v>838000</v>
      </c>
      <c r="H103" s="391">
        <f t="shared" ref="H103:AE103" si="67">SUM(H104:H107)</f>
        <v>18000</v>
      </c>
      <c r="I103" s="391">
        <f t="shared" si="67"/>
        <v>18000</v>
      </c>
      <c r="J103" s="391">
        <f t="shared" si="67"/>
        <v>23000</v>
      </c>
      <c r="K103" s="391">
        <f t="shared" si="67"/>
        <v>60100</v>
      </c>
      <c r="L103" s="391">
        <f t="shared" si="67"/>
        <v>61500</v>
      </c>
      <c r="M103" s="391">
        <f t="shared" si="67"/>
        <v>52400</v>
      </c>
      <c r="N103" s="391">
        <f t="shared" si="67"/>
        <v>32000</v>
      </c>
      <c r="O103" s="391">
        <f t="shared" si="67"/>
        <v>42000</v>
      </c>
      <c r="P103" s="391">
        <f t="shared" si="67"/>
        <v>42000</v>
      </c>
      <c r="Q103" s="391">
        <f t="shared" si="67"/>
        <v>42000</v>
      </c>
      <c r="R103" s="391">
        <f t="shared" si="67"/>
        <v>42000</v>
      </c>
      <c r="S103" s="391">
        <f t="shared" si="67"/>
        <v>433000</v>
      </c>
      <c r="T103" s="391">
        <f t="shared" si="67"/>
        <v>32000</v>
      </c>
      <c r="U103" s="391">
        <f t="shared" si="67"/>
        <v>42000</v>
      </c>
      <c r="V103" s="391">
        <f t="shared" si="67"/>
        <v>37000</v>
      </c>
      <c r="W103" s="391">
        <f t="shared" si="67"/>
        <v>37000</v>
      </c>
      <c r="X103" s="391">
        <f t="shared" si="67"/>
        <v>37000</v>
      </c>
      <c r="Y103" s="391">
        <f t="shared" si="67"/>
        <v>37000</v>
      </c>
      <c r="Z103" s="391">
        <f t="shared" si="67"/>
        <v>37000</v>
      </c>
      <c r="AA103" s="391">
        <f t="shared" si="67"/>
        <v>37000</v>
      </c>
      <c r="AB103" s="391">
        <f t="shared" si="67"/>
        <v>37000</v>
      </c>
      <c r="AC103" s="391">
        <f t="shared" si="67"/>
        <v>37000</v>
      </c>
      <c r="AD103" s="391">
        <f t="shared" si="67"/>
        <v>35000</v>
      </c>
      <c r="AE103" s="391">
        <f t="shared" si="67"/>
        <v>405000</v>
      </c>
      <c r="AF103" s="40"/>
    </row>
    <row r="104" spans="1:32" ht="41.25" customHeight="1" x14ac:dyDescent="0.3">
      <c r="A104" s="1076"/>
      <c r="B104" s="6" t="s">
        <v>2</v>
      </c>
      <c r="C104" s="3" t="s">
        <v>775</v>
      </c>
      <c r="D104" s="3" t="s">
        <v>775</v>
      </c>
      <c r="E104" s="23">
        <f>+S104+AE104</f>
        <v>396000</v>
      </c>
      <c r="F104" s="23"/>
      <c r="G104" s="82">
        <f t="shared" si="63"/>
        <v>396000</v>
      </c>
      <c r="H104" s="179">
        <v>18000</v>
      </c>
      <c r="I104" s="179">
        <v>18000</v>
      </c>
      <c r="J104" s="162">
        <v>18000</v>
      </c>
      <c r="K104" s="162">
        <v>18000</v>
      </c>
      <c r="L104" s="162">
        <v>18000</v>
      </c>
      <c r="M104" s="162">
        <v>18000</v>
      </c>
      <c r="N104" s="162">
        <v>18000</v>
      </c>
      <c r="O104" s="162">
        <v>18000</v>
      </c>
      <c r="P104" s="162">
        <v>18000</v>
      </c>
      <c r="Q104" s="162">
        <v>18000</v>
      </c>
      <c r="R104" s="162">
        <v>18000</v>
      </c>
      <c r="S104" s="22">
        <f>SUM(H104:R104)</f>
        <v>198000</v>
      </c>
      <c r="T104" s="162">
        <v>18000</v>
      </c>
      <c r="U104" s="162">
        <v>18000</v>
      </c>
      <c r="V104" s="162">
        <v>18000</v>
      </c>
      <c r="W104" s="162">
        <v>18000</v>
      </c>
      <c r="X104" s="162">
        <v>18000</v>
      </c>
      <c r="Y104" s="162">
        <v>18000</v>
      </c>
      <c r="Z104" s="162">
        <v>18000</v>
      </c>
      <c r="AA104" s="162">
        <v>18000</v>
      </c>
      <c r="AB104" s="162">
        <v>18000</v>
      </c>
      <c r="AC104" s="162">
        <v>18000</v>
      </c>
      <c r="AD104" s="162">
        <v>18000</v>
      </c>
      <c r="AE104" s="163">
        <f>SUM(T104:AD104)</f>
        <v>198000</v>
      </c>
      <c r="AF104" s="24" t="s">
        <v>130</v>
      </c>
    </row>
    <row r="105" spans="1:32" ht="45.6" customHeight="1" x14ac:dyDescent="0.3">
      <c r="A105" s="1076"/>
      <c r="B105" s="401" t="s">
        <v>3</v>
      </c>
      <c r="C105" s="47" t="s">
        <v>853</v>
      </c>
      <c r="D105" s="47" t="s">
        <v>776</v>
      </c>
      <c r="E105" s="23">
        <f>+S105+AE105</f>
        <v>259000</v>
      </c>
      <c r="F105" s="23"/>
      <c r="G105" s="82">
        <f t="shared" si="63"/>
        <v>259000</v>
      </c>
      <c r="H105" s="162">
        <v>0</v>
      </c>
      <c r="I105" s="162">
        <v>0</v>
      </c>
      <c r="J105" s="162">
        <v>0</v>
      </c>
      <c r="K105" s="162">
        <v>7000</v>
      </c>
      <c r="L105" s="162">
        <v>14000</v>
      </c>
      <c r="M105" s="162">
        <v>14000</v>
      </c>
      <c r="N105" s="162">
        <v>14000</v>
      </c>
      <c r="O105" s="162">
        <v>14000</v>
      </c>
      <c r="P105" s="162">
        <v>14000</v>
      </c>
      <c r="Q105" s="162">
        <v>14000</v>
      </c>
      <c r="R105" s="162">
        <v>14000</v>
      </c>
      <c r="S105" s="22">
        <f>SUM(H105:R105)</f>
        <v>105000</v>
      </c>
      <c r="T105" s="162">
        <v>14000</v>
      </c>
      <c r="U105" s="162">
        <v>14000</v>
      </c>
      <c r="V105" s="162">
        <v>14000</v>
      </c>
      <c r="W105" s="162">
        <v>14000</v>
      </c>
      <c r="X105" s="162">
        <v>14000</v>
      </c>
      <c r="Y105" s="162">
        <v>14000</v>
      </c>
      <c r="Z105" s="162">
        <v>14000</v>
      </c>
      <c r="AA105" s="162">
        <v>14000</v>
      </c>
      <c r="AB105" s="162">
        <v>14000</v>
      </c>
      <c r="AC105" s="162">
        <v>14000</v>
      </c>
      <c r="AD105" s="162">
        <v>14000</v>
      </c>
      <c r="AE105" s="163">
        <f>SUM(T105:AD105)</f>
        <v>154000</v>
      </c>
      <c r="AF105" s="24" t="s">
        <v>130</v>
      </c>
    </row>
    <row r="106" spans="1:32" ht="69" customHeight="1" x14ac:dyDescent="0.3">
      <c r="A106" s="1076"/>
      <c r="B106" s="6" t="s">
        <v>4</v>
      </c>
      <c r="C106" s="3" t="s">
        <v>30</v>
      </c>
      <c r="D106" s="3" t="s">
        <v>30</v>
      </c>
      <c r="E106" s="23">
        <f>+S106+AE106</f>
        <v>70000</v>
      </c>
      <c r="F106" s="23"/>
      <c r="G106" s="82">
        <f t="shared" si="63"/>
        <v>70000</v>
      </c>
      <c r="H106" s="162"/>
      <c r="J106" s="162"/>
      <c r="K106" s="162">
        <v>30100</v>
      </c>
      <c r="L106" s="162">
        <v>24500</v>
      </c>
      <c r="M106" s="162">
        <v>15400</v>
      </c>
      <c r="N106" s="162"/>
      <c r="O106" s="162"/>
      <c r="P106" s="162"/>
      <c r="Q106" s="162"/>
      <c r="R106" s="162"/>
      <c r="S106" s="22">
        <f>SUM(H106:R106)</f>
        <v>70000</v>
      </c>
      <c r="T106" s="162"/>
      <c r="U106" s="162"/>
      <c r="V106" s="162"/>
      <c r="W106" s="162"/>
      <c r="X106" s="162"/>
      <c r="Y106" s="162"/>
      <c r="Z106" s="162"/>
      <c r="AA106" s="162"/>
      <c r="AB106" s="162"/>
      <c r="AC106" s="162"/>
      <c r="AD106" s="162"/>
      <c r="AE106" s="163">
        <f>SUM(T106:AD106)</f>
        <v>0</v>
      </c>
      <c r="AF106" s="24" t="s">
        <v>130</v>
      </c>
    </row>
    <row r="107" spans="1:32" ht="84" customHeight="1" x14ac:dyDescent="0.3">
      <c r="A107" s="1077"/>
      <c r="B107" s="6" t="s">
        <v>8</v>
      </c>
      <c r="C107" s="3" t="s">
        <v>29</v>
      </c>
      <c r="D107" s="3" t="s">
        <v>29</v>
      </c>
      <c r="E107" s="23">
        <f>+S107+AE107</f>
        <v>113000</v>
      </c>
      <c r="F107" s="23"/>
      <c r="G107" s="82">
        <f t="shared" si="63"/>
        <v>113000</v>
      </c>
      <c r="H107" s="162"/>
      <c r="I107" s="162"/>
      <c r="J107" s="162">
        <v>5000</v>
      </c>
      <c r="K107" s="162">
        <v>5000</v>
      </c>
      <c r="L107" s="162">
        <v>5000</v>
      </c>
      <c r="M107" s="162">
        <v>5000</v>
      </c>
      <c r="N107" s="162"/>
      <c r="O107" s="162">
        <v>10000</v>
      </c>
      <c r="P107" s="162">
        <v>10000</v>
      </c>
      <c r="Q107" s="162">
        <v>10000</v>
      </c>
      <c r="R107" s="162">
        <v>10000</v>
      </c>
      <c r="S107" s="22">
        <f>SUM(H107:R107)</f>
        <v>60000</v>
      </c>
      <c r="T107" s="162"/>
      <c r="U107" s="162">
        <v>10000</v>
      </c>
      <c r="V107" s="162">
        <v>5000</v>
      </c>
      <c r="W107" s="162">
        <v>5000</v>
      </c>
      <c r="X107" s="162">
        <v>5000</v>
      </c>
      <c r="Y107" s="162">
        <v>5000</v>
      </c>
      <c r="Z107" s="162">
        <v>5000</v>
      </c>
      <c r="AA107" s="162">
        <v>5000</v>
      </c>
      <c r="AB107" s="162">
        <v>5000</v>
      </c>
      <c r="AC107" s="162">
        <v>5000</v>
      </c>
      <c r="AD107" s="162">
        <v>3000</v>
      </c>
      <c r="AE107" s="163">
        <f>SUM(T107:AD107)</f>
        <v>53000</v>
      </c>
      <c r="AF107" s="24" t="s">
        <v>130</v>
      </c>
    </row>
    <row r="108" spans="1:32" s="58" customFormat="1" ht="22.5" customHeight="1" x14ac:dyDescent="0.3">
      <c r="A108" s="1075" t="s">
        <v>174</v>
      </c>
      <c r="B108" s="399"/>
      <c r="C108" s="400"/>
      <c r="D108" s="157"/>
      <c r="E108" s="40">
        <f t="shared" ref="E108:AE108" si="68">SUM(E109:E110)</f>
        <v>360000</v>
      </c>
      <c r="F108" s="40">
        <f t="shared" si="68"/>
        <v>0</v>
      </c>
      <c r="G108" s="40">
        <f t="shared" si="68"/>
        <v>360000</v>
      </c>
      <c r="H108" s="40">
        <f t="shared" si="68"/>
        <v>0</v>
      </c>
      <c r="I108" s="40">
        <f t="shared" si="68"/>
        <v>0</v>
      </c>
      <c r="J108" s="40">
        <f t="shared" si="68"/>
        <v>0</v>
      </c>
      <c r="K108" s="40">
        <f t="shared" si="68"/>
        <v>15000</v>
      </c>
      <c r="L108" s="40">
        <f t="shared" si="68"/>
        <v>15000</v>
      </c>
      <c r="M108" s="40">
        <f t="shared" si="68"/>
        <v>0</v>
      </c>
      <c r="N108" s="40">
        <f t="shared" si="68"/>
        <v>0</v>
      </c>
      <c r="O108" s="40">
        <f t="shared" si="68"/>
        <v>0</v>
      </c>
      <c r="P108" s="40">
        <f t="shared" si="68"/>
        <v>0</v>
      </c>
      <c r="Q108" s="40">
        <f t="shared" si="68"/>
        <v>90000</v>
      </c>
      <c r="R108" s="40">
        <f t="shared" si="68"/>
        <v>0</v>
      </c>
      <c r="S108" s="40">
        <f t="shared" si="68"/>
        <v>120000</v>
      </c>
      <c r="T108" s="40">
        <f t="shared" si="68"/>
        <v>0</v>
      </c>
      <c r="U108" s="40">
        <f t="shared" si="68"/>
        <v>0</v>
      </c>
      <c r="V108" s="40">
        <f t="shared" si="68"/>
        <v>0</v>
      </c>
      <c r="W108" s="40">
        <f t="shared" si="68"/>
        <v>0</v>
      </c>
      <c r="X108" s="40">
        <f t="shared" si="68"/>
        <v>0</v>
      </c>
      <c r="Y108" s="40">
        <f t="shared" si="68"/>
        <v>0</v>
      </c>
      <c r="Z108" s="40">
        <f t="shared" si="68"/>
        <v>0</v>
      </c>
      <c r="AA108" s="40">
        <f t="shared" si="68"/>
        <v>0</v>
      </c>
      <c r="AB108" s="40">
        <f t="shared" si="68"/>
        <v>0</v>
      </c>
      <c r="AC108" s="40">
        <f t="shared" si="68"/>
        <v>0</v>
      </c>
      <c r="AD108" s="40">
        <f t="shared" si="68"/>
        <v>240000</v>
      </c>
      <c r="AE108" s="40">
        <f t="shared" si="68"/>
        <v>240000</v>
      </c>
      <c r="AF108" s="40"/>
    </row>
    <row r="109" spans="1:32" ht="32.25" customHeight="1" x14ac:dyDescent="0.3">
      <c r="A109" s="1076"/>
      <c r="B109" s="378" t="s">
        <v>2</v>
      </c>
      <c r="C109" s="3" t="s">
        <v>31</v>
      </c>
      <c r="D109" s="184" t="s">
        <v>31</v>
      </c>
      <c r="E109" s="23">
        <f>+S109+AE109</f>
        <v>300000</v>
      </c>
      <c r="F109" s="23"/>
      <c r="G109" s="82">
        <f t="shared" ref="G109:G117" si="69">+E109+F109</f>
        <v>300000</v>
      </c>
      <c r="H109" s="179"/>
      <c r="I109" s="162"/>
      <c r="J109" s="162"/>
      <c r="K109" s="162">
        <v>15000</v>
      </c>
      <c r="L109" s="162">
        <v>15000</v>
      </c>
      <c r="M109" s="162"/>
      <c r="N109" s="162"/>
      <c r="O109" s="162"/>
      <c r="P109" s="162"/>
      <c r="Q109" s="162">
        <v>90000</v>
      </c>
      <c r="R109" s="162"/>
      <c r="S109" s="22">
        <f>SUM(H109:R109)</f>
        <v>120000</v>
      </c>
      <c r="T109" s="162"/>
      <c r="U109" s="162"/>
      <c r="V109" s="162"/>
      <c r="W109" s="162"/>
      <c r="X109" s="162"/>
      <c r="Y109" s="162"/>
      <c r="Z109" s="162"/>
      <c r="AA109" s="162"/>
      <c r="AB109" s="162"/>
      <c r="AC109" s="162"/>
      <c r="AD109" s="162">
        <v>180000</v>
      </c>
      <c r="AE109" s="163">
        <f>SUM(T109:AD109)</f>
        <v>180000</v>
      </c>
      <c r="AF109" s="24" t="s">
        <v>130</v>
      </c>
    </row>
    <row r="110" spans="1:32" ht="32.25" customHeight="1" x14ac:dyDescent="0.3">
      <c r="A110" s="1077"/>
      <c r="B110" s="378" t="s">
        <v>3</v>
      </c>
      <c r="C110" s="3" t="s">
        <v>34</v>
      </c>
      <c r="D110" s="184" t="s">
        <v>387</v>
      </c>
      <c r="E110" s="23">
        <f>+S110+AE110</f>
        <v>60000</v>
      </c>
      <c r="F110" s="23"/>
      <c r="G110" s="82">
        <f t="shared" si="69"/>
        <v>60000</v>
      </c>
      <c r="H110" s="179"/>
      <c r="I110" s="162"/>
      <c r="J110" s="162"/>
      <c r="K110" s="162"/>
      <c r="L110" s="162"/>
      <c r="M110" s="162"/>
      <c r="N110" s="162"/>
      <c r="O110" s="162"/>
      <c r="P110" s="162"/>
      <c r="Q110" s="162"/>
      <c r="R110" s="162"/>
      <c r="S110" s="22">
        <f>SUM(H110:R110)</f>
        <v>0</v>
      </c>
      <c r="T110" s="162"/>
      <c r="U110" s="162"/>
      <c r="V110" s="162"/>
      <c r="W110" s="162"/>
      <c r="X110" s="162"/>
      <c r="Y110" s="162"/>
      <c r="Z110" s="162"/>
      <c r="AA110" s="162"/>
      <c r="AB110" s="162"/>
      <c r="AC110" s="162"/>
      <c r="AD110" s="162">
        <v>60000</v>
      </c>
      <c r="AE110" s="163">
        <f>SUM(T110:AD110)</f>
        <v>60000</v>
      </c>
      <c r="AF110" s="24" t="s">
        <v>130</v>
      </c>
    </row>
    <row r="111" spans="1:32" s="59" customFormat="1" ht="21" x14ac:dyDescent="0.3">
      <c r="A111" s="147" t="s">
        <v>35</v>
      </c>
      <c r="B111" s="148"/>
      <c r="C111" s="149"/>
      <c r="D111" s="150"/>
      <c r="E111" s="185">
        <f>+E113</f>
        <v>696000</v>
      </c>
      <c r="F111" s="185">
        <f>+F113</f>
        <v>0</v>
      </c>
      <c r="G111" s="185">
        <f t="shared" si="69"/>
        <v>696000</v>
      </c>
      <c r="H111" s="151">
        <f>+H113</f>
        <v>18000</v>
      </c>
      <c r="I111" s="151">
        <f t="shared" ref="I111:Q111" si="70">+I113</f>
        <v>42610</v>
      </c>
      <c r="J111" s="151">
        <f t="shared" si="70"/>
        <v>83000</v>
      </c>
      <c r="K111" s="151">
        <f t="shared" si="70"/>
        <v>18000</v>
      </c>
      <c r="L111" s="151">
        <f t="shared" si="70"/>
        <v>18000</v>
      </c>
      <c r="M111" s="151">
        <f t="shared" si="70"/>
        <v>18000</v>
      </c>
      <c r="N111" s="151">
        <f t="shared" si="70"/>
        <v>18000</v>
      </c>
      <c r="O111" s="151">
        <f t="shared" si="70"/>
        <v>63390</v>
      </c>
      <c r="P111" s="151">
        <f t="shared" si="70"/>
        <v>18000</v>
      </c>
      <c r="Q111" s="151">
        <f t="shared" si="70"/>
        <v>43000</v>
      </c>
      <c r="R111" s="151">
        <f>+R113</f>
        <v>18000</v>
      </c>
      <c r="S111" s="151">
        <f>+S113</f>
        <v>358000</v>
      </c>
      <c r="T111" s="151">
        <f>+T113</f>
        <v>18000</v>
      </c>
      <c r="U111" s="151">
        <f>+U113</f>
        <v>18000</v>
      </c>
      <c r="V111" s="151">
        <f t="shared" ref="V111:AE111" si="71">+V113</f>
        <v>78000</v>
      </c>
      <c r="W111" s="151">
        <f t="shared" si="71"/>
        <v>18000</v>
      </c>
      <c r="X111" s="151">
        <f t="shared" si="71"/>
        <v>23000</v>
      </c>
      <c r="Y111" s="151">
        <f t="shared" si="71"/>
        <v>18000</v>
      </c>
      <c r="Z111" s="151">
        <f t="shared" si="71"/>
        <v>23000</v>
      </c>
      <c r="AA111" s="151">
        <f t="shared" si="71"/>
        <v>18000</v>
      </c>
      <c r="AB111" s="151">
        <f t="shared" si="71"/>
        <v>23000</v>
      </c>
      <c r="AC111" s="151">
        <f t="shared" si="71"/>
        <v>18000</v>
      </c>
      <c r="AD111" s="185">
        <f t="shared" si="71"/>
        <v>83000</v>
      </c>
      <c r="AE111" s="185">
        <f t="shared" si="71"/>
        <v>338000</v>
      </c>
      <c r="AF111" s="185"/>
    </row>
    <row r="112" spans="1:32" ht="18" x14ac:dyDescent="0.3">
      <c r="A112" s="1162" t="s">
        <v>36</v>
      </c>
      <c r="B112" s="1163"/>
      <c r="C112" s="1163"/>
      <c r="D112" s="1164"/>
      <c r="E112" s="19">
        <v>0</v>
      </c>
      <c r="F112" s="19">
        <v>0</v>
      </c>
      <c r="G112" s="19">
        <f t="shared" si="69"/>
        <v>0</v>
      </c>
      <c r="H112" s="154">
        <v>18000</v>
      </c>
      <c r="I112" s="154">
        <v>42610</v>
      </c>
      <c r="J112" s="154">
        <v>83000</v>
      </c>
      <c r="K112" s="154">
        <v>18000</v>
      </c>
      <c r="L112" s="154">
        <v>18000</v>
      </c>
      <c r="M112" s="154">
        <v>18000</v>
      </c>
      <c r="N112" s="154">
        <v>18000</v>
      </c>
      <c r="O112" s="154">
        <v>38390</v>
      </c>
      <c r="P112" s="154">
        <v>18000</v>
      </c>
      <c r="Q112" s="154">
        <v>43000</v>
      </c>
      <c r="R112" s="154">
        <v>18000</v>
      </c>
      <c r="S112" s="65">
        <v>333000</v>
      </c>
      <c r="T112" s="154">
        <v>18000</v>
      </c>
      <c r="U112" s="154">
        <v>18000</v>
      </c>
      <c r="V112" s="154">
        <v>78000</v>
      </c>
      <c r="W112" s="154">
        <v>18000</v>
      </c>
      <c r="X112" s="154">
        <v>23000</v>
      </c>
      <c r="Y112" s="154">
        <v>18000</v>
      </c>
      <c r="Z112" s="154">
        <v>23000</v>
      </c>
      <c r="AA112" s="154">
        <v>18000</v>
      </c>
      <c r="AB112" s="154">
        <v>23000</v>
      </c>
      <c r="AC112" s="154">
        <v>18000</v>
      </c>
      <c r="AD112" s="154">
        <v>83000</v>
      </c>
      <c r="AE112" s="19">
        <v>338000</v>
      </c>
      <c r="AF112" s="26"/>
    </row>
    <row r="113" spans="1:33" s="58" customFormat="1" ht="18" x14ac:dyDescent="0.3">
      <c r="A113" s="1165" t="s">
        <v>37</v>
      </c>
      <c r="B113" s="1165"/>
      <c r="C113" s="1165"/>
      <c r="D113" s="155"/>
      <c r="E113" s="20">
        <f>+E114</f>
        <v>696000</v>
      </c>
      <c r="F113" s="20">
        <f>+F114</f>
        <v>0</v>
      </c>
      <c r="G113" s="20">
        <f t="shared" si="69"/>
        <v>696000</v>
      </c>
      <c r="H113" s="20">
        <f t="shared" ref="H113:S113" si="72">+H114</f>
        <v>18000</v>
      </c>
      <c r="I113" s="20">
        <f t="shared" si="72"/>
        <v>42610</v>
      </c>
      <c r="J113" s="20">
        <f t="shared" si="72"/>
        <v>83000</v>
      </c>
      <c r="K113" s="20">
        <f t="shared" si="72"/>
        <v>18000</v>
      </c>
      <c r="L113" s="20">
        <f t="shared" si="72"/>
        <v>18000</v>
      </c>
      <c r="M113" s="20">
        <f t="shared" si="72"/>
        <v>18000</v>
      </c>
      <c r="N113" s="20">
        <f t="shared" si="72"/>
        <v>18000</v>
      </c>
      <c r="O113" s="20">
        <f t="shared" si="72"/>
        <v>63390</v>
      </c>
      <c r="P113" s="20">
        <f t="shared" si="72"/>
        <v>18000</v>
      </c>
      <c r="Q113" s="20">
        <f t="shared" si="72"/>
        <v>43000</v>
      </c>
      <c r="R113" s="20">
        <f t="shared" si="72"/>
        <v>18000</v>
      </c>
      <c r="S113" s="20">
        <f t="shared" si="72"/>
        <v>358000</v>
      </c>
      <c r="T113" s="20">
        <f>+T114</f>
        <v>18000</v>
      </c>
      <c r="U113" s="20">
        <f t="shared" ref="U113:AE113" si="73">+U114</f>
        <v>18000</v>
      </c>
      <c r="V113" s="20">
        <f t="shared" si="73"/>
        <v>78000</v>
      </c>
      <c r="W113" s="20">
        <f t="shared" si="73"/>
        <v>18000</v>
      </c>
      <c r="X113" s="20">
        <f t="shared" si="73"/>
        <v>23000</v>
      </c>
      <c r="Y113" s="20">
        <f t="shared" si="73"/>
        <v>18000</v>
      </c>
      <c r="Z113" s="20">
        <f t="shared" si="73"/>
        <v>23000</v>
      </c>
      <c r="AA113" s="20">
        <f t="shared" si="73"/>
        <v>18000</v>
      </c>
      <c r="AB113" s="20">
        <f t="shared" si="73"/>
        <v>23000</v>
      </c>
      <c r="AC113" s="20">
        <f t="shared" si="73"/>
        <v>18000</v>
      </c>
      <c r="AD113" s="20">
        <f t="shared" si="73"/>
        <v>83000</v>
      </c>
      <c r="AE113" s="20">
        <f t="shared" si="73"/>
        <v>338000</v>
      </c>
      <c r="AF113" s="20"/>
    </row>
    <row r="114" spans="1:33" s="183" customFormat="1" ht="17.25" customHeight="1" x14ac:dyDescent="0.3">
      <c r="A114" s="1075" t="s">
        <v>175</v>
      </c>
      <c r="B114" s="399"/>
      <c r="C114" s="400"/>
      <c r="D114" s="390"/>
      <c r="E114" s="398">
        <f>SUM(E115:E117)</f>
        <v>696000</v>
      </c>
      <c r="F114" s="398">
        <f>SUM(F115:F117)</f>
        <v>0</v>
      </c>
      <c r="G114" s="398">
        <f t="shared" si="69"/>
        <v>696000</v>
      </c>
      <c r="H114" s="398">
        <f>SUM(H115:H117)</f>
        <v>18000</v>
      </c>
      <c r="I114" s="398">
        <f t="shared" ref="I114:S114" si="74">SUM(I115:I117)</f>
        <v>42610</v>
      </c>
      <c r="J114" s="398">
        <f t="shared" si="74"/>
        <v>83000</v>
      </c>
      <c r="K114" s="398">
        <f t="shared" si="74"/>
        <v>18000</v>
      </c>
      <c r="L114" s="398">
        <f t="shared" si="74"/>
        <v>18000</v>
      </c>
      <c r="M114" s="398">
        <f t="shared" si="74"/>
        <v>18000</v>
      </c>
      <c r="N114" s="398">
        <f t="shared" si="74"/>
        <v>18000</v>
      </c>
      <c r="O114" s="398">
        <f>SUM(O115:O117)</f>
        <v>63390</v>
      </c>
      <c r="P114" s="398">
        <f t="shared" si="74"/>
        <v>18000</v>
      </c>
      <c r="Q114" s="398">
        <f t="shared" si="74"/>
        <v>43000</v>
      </c>
      <c r="R114" s="398">
        <f t="shared" si="74"/>
        <v>18000</v>
      </c>
      <c r="S114" s="398">
        <f t="shared" si="74"/>
        <v>358000</v>
      </c>
      <c r="T114" s="398">
        <f>SUM(T115:T117)</f>
        <v>18000</v>
      </c>
      <c r="U114" s="398">
        <f t="shared" ref="U114:AE114" si="75">SUM(U115:U117)</f>
        <v>18000</v>
      </c>
      <c r="V114" s="398">
        <f t="shared" si="75"/>
        <v>78000</v>
      </c>
      <c r="W114" s="398">
        <f t="shared" si="75"/>
        <v>18000</v>
      </c>
      <c r="X114" s="398">
        <f t="shared" si="75"/>
        <v>23000</v>
      </c>
      <c r="Y114" s="398">
        <f t="shared" si="75"/>
        <v>18000</v>
      </c>
      <c r="Z114" s="398">
        <f t="shared" si="75"/>
        <v>23000</v>
      </c>
      <c r="AA114" s="398">
        <f t="shared" si="75"/>
        <v>18000</v>
      </c>
      <c r="AB114" s="398">
        <f t="shared" si="75"/>
        <v>23000</v>
      </c>
      <c r="AC114" s="398">
        <f t="shared" si="75"/>
        <v>18000</v>
      </c>
      <c r="AD114" s="398">
        <f t="shared" si="75"/>
        <v>83000</v>
      </c>
      <c r="AE114" s="398">
        <f t="shared" si="75"/>
        <v>338000</v>
      </c>
      <c r="AF114" s="398"/>
    </row>
    <row r="115" spans="1:33" ht="45" customHeight="1" x14ac:dyDescent="0.3">
      <c r="A115" s="1076"/>
      <c r="B115" s="7" t="s">
        <v>2</v>
      </c>
      <c r="C115" s="8" t="s">
        <v>38</v>
      </c>
      <c r="D115" s="8" t="s">
        <v>38</v>
      </c>
      <c r="E115" s="23">
        <f>+S115+AE115</f>
        <v>396000</v>
      </c>
      <c r="F115" s="23"/>
      <c r="G115" s="82">
        <f t="shared" si="69"/>
        <v>396000</v>
      </c>
      <c r="H115" s="179">
        <v>18000</v>
      </c>
      <c r="I115" s="179">
        <v>18000</v>
      </c>
      <c r="J115" s="162">
        <v>18000</v>
      </c>
      <c r="K115" s="162">
        <v>18000</v>
      </c>
      <c r="L115" s="162">
        <v>18000</v>
      </c>
      <c r="M115" s="162">
        <v>18000</v>
      </c>
      <c r="N115" s="162">
        <v>18000</v>
      </c>
      <c r="O115" s="162">
        <v>18000</v>
      </c>
      <c r="P115" s="162">
        <v>18000</v>
      </c>
      <c r="Q115" s="162">
        <v>18000</v>
      </c>
      <c r="R115" s="162">
        <v>18000</v>
      </c>
      <c r="S115" s="22">
        <f>SUM(H115:R115)</f>
        <v>198000</v>
      </c>
      <c r="T115" s="162">
        <v>18000</v>
      </c>
      <c r="U115" s="162">
        <v>18000</v>
      </c>
      <c r="V115" s="162">
        <v>18000</v>
      </c>
      <c r="W115" s="162">
        <v>18000</v>
      </c>
      <c r="X115" s="162">
        <v>18000</v>
      </c>
      <c r="Y115" s="162">
        <v>18000</v>
      </c>
      <c r="Z115" s="162">
        <v>18000</v>
      </c>
      <c r="AA115" s="162">
        <v>18000</v>
      </c>
      <c r="AB115" s="162">
        <v>18000</v>
      </c>
      <c r="AC115" s="162">
        <v>18000</v>
      </c>
      <c r="AD115" s="162">
        <v>18000</v>
      </c>
      <c r="AE115" s="163">
        <f>SUM(T115:AD115)</f>
        <v>198000</v>
      </c>
      <c r="AF115" s="24" t="s">
        <v>130</v>
      </c>
    </row>
    <row r="116" spans="1:33" ht="97.5" customHeight="1" x14ac:dyDescent="0.3">
      <c r="A116" s="1076"/>
      <c r="B116" s="6" t="s">
        <v>3</v>
      </c>
      <c r="C116" s="3" t="s">
        <v>39</v>
      </c>
      <c r="D116" s="3" t="s">
        <v>39</v>
      </c>
      <c r="E116" s="23">
        <f>+S116+AE116</f>
        <v>150000</v>
      </c>
      <c r="F116" s="23"/>
      <c r="G116" s="82">
        <f t="shared" si="69"/>
        <v>150000</v>
      </c>
      <c r="H116" s="162"/>
      <c r="I116" s="179">
        <v>24610</v>
      </c>
      <c r="J116" s="162"/>
      <c r="K116" s="540"/>
      <c r="L116" s="162"/>
      <c r="M116" s="162"/>
      <c r="N116" s="162"/>
      <c r="O116" s="162">
        <v>20390</v>
      </c>
      <c r="P116" s="162"/>
      <c r="Q116" s="162">
        <v>25000</v>
      </c>
      <c r="R116" s="162"/>
      <c r="S116" s="22">
        <f>SUM(H116:R116)</f>
        <v>70000</v>
      </c>
      <c r="T116" s="162"/>
      <c r="U116" s="162"/>
      <c r="V116" s="162">
        <v>25000</v>
      </c>
      <c r="W116" s="162"/>
      <c r="X116" s="162">
        <v>5000</v>
      </c>
      <c r="Y116" s="162"/>
      <c r="Z116" s="162">
        <v>5000</v>
      </c>
      <c r="AA116" s="162"/>
      <c r="AB116" s="162">
        <v>5000</v>
      </c>
      <c r="AC116" s="162"/>
      <c r="AD116" s="162">
        <v>40000</v>
      </c>
      <c r="AE116" s="163">
        <f>SUM(T116:AD116)</f>
        <v>80000</v>
      </c>
      <c r="AF116" s="24" t="s">
        <v>130</v>
      </c>
    </row>
    <row r="117" spans="1:33" ht="117" customHeight="1" x14ac:dyDescent="0.3">
      <c r="A117" s="1077"/>
      <c r="B117" s="6" t="s">
        <v>4</v>
      </c>
      <c r="C117" s="3" t="s">
        <v>40</v>
      </c>
      <c r="D117" s="3" t="s">
        <v>40</v>
      </c>
      <c r="E117" s="23">
        <f>+S117+AE117</f>
        <v>150000</v>
      </c>
      <c r="F117" s="23"/>
      <c r="G117" s="82">
        <f t="shared" si="69"/>
        <v>150000</v>
      </c>
      <c r="H117" s="162"/>
      <c r="I117" s="162"/>
      <c r="J117" s="162">
        <v>65000</v>
      </c>
      <c r="K117" s="162"/>
      <c r="L117" s="162"/>
      <c r="M117" s="162"/>
      <c r="N117" s="162"/>
      <c r="O117" s="162">
        <v>25000</v>
      </c>
      <c r="P117" s="162"/>
      <c r="Q117" s="162"/>
      <c r="R117" s="162"/>
      <c r="S117" s="22">
        <f>SUM(H117:R117)</f>
        <v>90000</v>
      </c>
      <c r="T117" s="162"/>
      <c r="U117" s="162"/>
      <c r="V117" s="162">
        <v>35000</v>
      </c>
      <c r="W117" s="162"/>
      <c r="X117" s="162"/>
      <c r="Y117" s="162"/>
      <c r="Z117" s="162"/>
      <c r="AA117" s="162"/>
      <c r="AB117" s="162"/>
      <c r="AC117" s="162"/>
      <c r="AD117" s="162">
        <v>25000</v>
      </c>
      <c r="AE117" s="163">
        <f>SUM(T117:AD117)</f>
        <v>60000</v>
      </c>
      <c r="AF117" s="24" t="s">
        <v>130</v>
      </c>
    </row>
    <row r="118" spans="1:33" ht="33.75" customHeight="1" x14ac:dyDescent="0.3">
      <c r="E118" s="29"/>
      <c r="F118" s="29"/>
      <c r="S118" s="183"/>
      <c r="AF118" s="29"/>
      <c r="AG118" s="193"/>
    </row>
    <row r="119" spans="1:33" x14ac:dyDescent="0.3">
      <c r="C119" s="544"/>
    </row>
    <row r="120" spans="1:33" x14ac:dyDescent="0.3">
      <c r="C120" s="544"/>
      <c r="D120" s="541"/>
    </row>
    <row r="121" spans="1:33" x14ac:dyDescent="0.3">
      <c r="C121" s="544"/>
      <c r="D121" s="541"/>
    </row>
    <row r="122" spans="1:33" x14ac:dyDescent="0.3">
      <c r="C122" s="544"/>
      <c r="D122" s="541"/>
    </row>
    <row r="123" spans="1:33" x14ac:dyDescent="0.3">
      <c r="C123" s="544"/>
      <c r="D123" s="541"/>
      <c r="F123" s="549"/>
      <c r="I123" s="549"/>
    </row>
    <row r="124" spans="1:33" x14ac:dyDescent="0.3">
      <c r="D124" s="541"/>
    </row>
    <row r="125" spans="1:33" x14ac:dyDescent="0.3">
      <c r="D125" s="541"/>
    </row>
    <row r="126" spans="1:33" x14ac:dyDescent="0.3">
      <c r="D126" s="541"/>
    </row>
    <row r="127" spans="1:33" x14ac:dyDescent="0.3">
      <c r="D127" s="541"/>
    </row>
    <row r="128" spans="1:33" x14ac:dyDescent="0.3">
      <c r="D128" s="541"/>
    </row>
    <row r="129" spans="4:4" x14ac:dyDescent="0.3">
      <c r="D129" s="541"/>
    </row>
    <row r="130" spans="4:4" x14ac:dyDescent="0.3">
      <c r="D130" s="541"/>
    </row>
    <row r="132" spans="4:4" x14ac:dyDescent="0.3">
      <c r="D132" s="541"/>
    </row>
    <row r="134" spans="4:4" x14ac:dyDescent="0.3">
      <c r="D134" s="541"/>
    </row>
    <row r="136" spans="4:4" x14ac:dyDescent="0.3">
      <c r="D136" s="541"/>
    </row>
    <row r="139" spans="4:4" x14ac:dyDescent="0.3">
      <c r="D139" s="541"/>
    </row>
    <row r="140" spans="4:4" x14ac:dyDescent="0.3">
      <c r="D140" s="541"/>
    </row>
    <row r="141" spans="4:4" x14ac:dyDescent="0.3">
      <c r="D141" s="541"/>
    </row>
    <row r="142" spans="4:4" x14ac:dyDescent="0.3">
      <c r="D142" s="541"/>
    </row>
    <row r="143" spans="4:4" x14ac:dyDescent="0.3">
      <c r="D143" s="541"/>
    </row>
    <row r="144" spans="4:4" x14ac:dyDescent="0.3">
      <c r="D144" s="541"/>
    </row>
  </sheetData>
  <autoFilter ref="A6:AF117"/>
  <mergeCells count="44">
    <mergeCell ref="B33:B34"/>
    <mergeCell ref="C33:C34"/>
    <mergeCell ref="C73:C76"/>
    <mergeCell ref="A57:D57"/>
    <mergeCell ref="A59:A63"/>
    <mergeCell ref="C69:C72"/>
    <mergeCell ref="A12:A34"/>
    <mergeCell ref="B23:B32"/>
    <mergeCell ref="C23:C32"/>
    <mergeCell ref="A35:A49"/>
    <mergeCell ref="C13:C22"/>
    <mergeCell ref="A58:C58"/>
    <mergeCell ref="A50:C50"/>
    <mergeCell ref="A51:A55"/>
    <mergeCell ref="A64:A84"/>
    <mergeCell ref="B65:B68"/>
    <mergeCell ref="C65:C68"/>
    <mergeCell ref="B69:B72"/>
    <mergeCell ref="B73:B76"/>
    <mergeCell ref="B77:B80"/>
    <mergeCell ref="C77:C80"/>
    <mergeCell ref="B81:B84"/>
    <mergeCell ref="C81:C84"/>
    <mergeCell ref="A112:D112"/>
    <mergeCell ref="A85:A90"/>
    <mergeCell ref="A91:A93"/>
    <mergeCell ref="A94:A99"/>
    <mergeCell ref="A113:C113"/>
    <mergeCell ref="A114:A117"/>
    <mergeCell ref="A103:A107"/>
    <mergeCell ref="A102:C102"/>
    <mergeCell ref="A101:C101"/>
    <mergeCell ref="A108:A110"/>
    <mergeCell ref="F5:F6"/>
    <mergeCell ref="AF5:AF6"/>
    <mergeCell ref="A10:C10"/>
    <mergeCell ref="A11:C11"/>
    <mergeCell ref="B13:B22"/>
    <mergeCell ref="H5:R5"/>
    <mergeCell ref="S5:S6"/>
    <mergeCell ref="T5:AD5"/>
    <mergeCell ref="AE5:AE6"/>
    <mergeCell ref="G5:G6"/>
    <mergeCell ref="E5:E6"/>
  </mergeCells>
  <phoneticPr fontId="2" type="noConversion"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AD51"/>
  <sheetViews>
    <sheetView zoomScale="80" zoomScaleNormal="80" workbookViewId="0">
      <pane xSplit="6" ySplit="5" topLeftCell="G24" activePane="bottomRight" state="frozen"/>
      <selection pane="topRight" activeCell="G1" sqref="G1"/>
      <selection pane="bottomLeft" activeCell="A6" sqref="A6"/>
      <selection pane="bottomRight" activeCell="C26" sqref="C26"/>
    </sheetView>
  </sheetViews>
  <sheetFormatPr baseColWidth="10" defaultRowHeight="14.4" x14ac:dyDescent="0.3"/>
  <cols>
    <col min="1" max="1" width="23.109375" style="51" customWidth="1"/>
    <col min="2" max="2" width="3.88671875" style="30" customWidth="1"/>
    <col min="3" max="3" width="28.6640625" style="109" customWidth="1"/>
    <col min="4" max="4" width="20.109375" customWidth="1"/>
    <col min="5" max="5" width="19.88671875" customWidth="1"/>
    <col min="6" max="6" width="20.44140625" style="67" customWidth="1"/>
    <col min="7" max="7" width="17" customWidth="1"/>
    <col min="8" max="8" width="16.5546875" customWidth="1"/>
    <col min="9" max="9" width="18.6640625" customWidth="1"/>
    <col min="10" max="10" width="18.44140625" customWidth="1"/>
    <col min="11" max="11" width="18.6640625" customWidth="1"/>
    <col min="12" max="12" width="18" customWidth="1"/>
    <col min="13" max="13" width="17.5546875" customWidth="1"/>
    <col min="14" max="15" width="18" customWidth="1"/>
    <col min="16" max="17" width="18.33203125" customWidth="1"/>
    <col min="18" max="18" width="23.6640625" customWidth="1"/>
    <col min="19" max="19" width="21.109375" customWidth="1"/>
    <col min="20" max="20" width="21.5546875" customWidth="1"/>
    <col min="21" max="21" width="21.109375" customWidth="1"/>
    <col min="22" max="22" width="21.5546875" customWidth="1"/>
    <col min="23" max="23" width="21.109375" customWidth="1"/>
    <col min="24" max="24" width="21.5546875" customWidth="1"/>
    <col min="25" max="26" width="21.109375" customWidth="1"/>
    <col min="27" max="27" width="21.5546875" customWidth="1"/>
    <col min="28" max="29" width="21.109375" customWidth="1"/>
    <col min="30" max="30" width="24.109375" customWidth="1"/>
    <col min="31" max="31" width="22.88671875" customWidth="1"/>
  </cols>
  <sheetData>
    <row r="1" spans="1:30" s="4" customFormat="1" ht="23.4" x14ac:dyDescent="0.3">
      <c r="A1" s="48" t="s">
        <v>46</v>
      </c>
      <c r="B1" s="34"/>
      <c r="C1" s="101"/>
      <c r="D1" s="33"/>
      <c r="E1" s="32"/>
      <c r="F1" s="753"/>
      <c r="G1" s="11"/>
      <c r="H1" s="12"/>
      <c r="I1" s="13"/>
      <c r="J1" s="9"/>
      <c r="K1" s="9"/>
      <c r="L1" s="9"/>
      <c r="M1" s="9"/>
      <c r="N1" s="9"/>
      <c r="O1" s="9"/>
      <c r="P1" s="9"/>
      <c r="Q1" s="9"/>
      <c r="R1" s="55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55"/>
    </row>
    <row r="2" spans="1:30" s="4" customFormat="1" ht="23.25" x14ac:dyDescent="0.25">
      <c r="A2" s="48" t="s">
        <v>47</v>
      </c>
      <c r="B2" s="34"/>
      <c r="C2" s="101"/>
      <c r="D2" s="33"/>
      <c r="E2" s="32"/>
      <c r="F2" s="753"/>
      <c r="G2" s="14"/>
      <c r="H2" s="15"/>
      <c r="I2" s="16"/>
      <c r="J2" s="9"/>
      <c r="K2" s="9"/>
      <c r="L2" s="9"/>
      <c r="M2" s="9"/>
      <c r="N2" s="9"/>
      <c r="O2" s="9"/>
      <c r="P2" s="9"/>
      <c r="Q2" s="9"/>
      <c r="R2" s="55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55"/>
    </row>
    <row r="3" spans="1:30" s="4" customFormat="1" ht="23.25" x14ac:dyDescent="0.25">
      <c r="A3" s="48"/>
      <c r="B3" s="34"/>
      <c r="C3" s="101"/>
      <c r="D3" s="33"/>
      <c r="E3" s="32"/>
      <c r="F3" s="289">
        <v>6747200</v>
      </c>
      <c r="G3" s="14"/>
      <c r="H3" s="15"/>
      <c r="I3" s="16"/>
      <c r="J3" s="9"/>
      <c r="K3" s="9"/>
      <c r="L3" s="9"/>
      <c r="M3" s="9"/>
      <c r="N3" s="9"/>
      <c r="O3" s="9"/>
      <c r="P3" s="9"/>
      <c r="Q3" s="9"/>
      <c r="R3" s="55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55"/>
    </row>
    <row r="4" spans="1:30" ht="21" customHeight="1" x14ac:dyDescent="0.45">
      <c r="A4" s="235" t="s">
        <v>48</v>
      </c>
      <c r="B4" s="218"/>
      <c r="C4" s="234"/>
      <c r="D4" s="1185" t="s">
        <v>43</v>
      </c>
      <c r="E4" s="1185" t="s">
        <v>44</v>
      </c>
      <c r="F4" s="1188" t="s">
        <v>85</v>
      </c>
      <c r="G4" s="1187">
        <v>2021</v>
      </c>
      <c r="H4" s="1187"/>
      <c r="I4" s="1187"/>
      <c r="J4" s="1187"/>
      <c r="K4" s="1187"/>
      <c r="L4" s="1187"/>
      <c r="M4" s="1187"/>
      <c r="N4" s="1187"/>
      <c r="O4" s="1187"/>
      <c r="P4" s="1187"/>
      <c r="Q4" s="1187"/>
      <c r="R4" s="1190" t="s">
        <v>41</v>
      </c>
      <c r="S4" s="1173">
        <v>2022</v>
      </c>
      <c r="T4" s="1111"/>
      <c r="U4" s="1111"/>
      <c r="V4" s="1111"/>
      <c r="W4" s="1111"/>
      <c r="X4" s="1111"/>
      <c r="Y4" s="1111"/>
      <c r="Z4" s="1111"/>
      <c r="AA4" s="1111"/>
      <c r="AB4" s="1111"/>
      <c r="AC4" s="1111"/>
      <c r="AD4" s="1101" t="s">
        <v>42</v>
      </c>
    </row>
    <row r="5" spans="1:30" ht="39.75" customHeight="1" x14ac:dyDescent="0.3">
      <c r="A5" s="196" t="s">
        <v>49</v>
      </c>
      <c r="B5" s="216" t="s">
        <v>50</v>
      </c>
      <c r="C5" s="217" t="s">
        <v>51</v>
      </c>
      <c r="D5" s="1186"/>
      <c r="E5" s="1186"/>
      <c r="F5" s="1189"/>
      <c r="G5" s="517">
        <v>44228</v>
      </c>
      <c r="H5" s="517">
        <v>44256</v>
      </c>
      <c r="I5" s="517">
        <v>44287</v>
      </c>
      <c r="J5" s="517">
        <v>44317</v>
      </c>
      <c r="K5" s="517">
        <v>44348</v>
      </c>
      <c r="L5" s="517">
        <v>44378</v>
      </c>
      <c r="M5" s="517">
        <v>44409</v>
      </c>
      <c r="N5" s="517">
        <v>44440</v>
      </c>
      <c r="O5" s="517">
        <v>44470</v>
      </c>
      <c r="P5" s="517">
        <v>44501</v>
      </c>
      <c r="Q5" s="517">
        <v>44531</v>
      </c>
      <c r="R5" s="1191"/>
      <c r="S5" s="517">
        <v>44562</v>
      </c>
      <c r="T5" s="517">
        <v>44593</v>
      </c>
      <c r="U5" s="517">
        <v>44621</v>
      </c>
      <c r="V5" s="517">
        <v>44652</v>
      </c>
      <c r="W5" s="517">
        <v>44682</v>
      </c>
      <c r="X5" s="517">
        <v>44713</v>
      </c>
      <c r="Y5" s="517">
        <v>44743</v>
      </c>
      <c r="Z5" s="517">
        <v>44774</v>
      </c>
      <c r="AA5" s="517">
        <v>44805</v>
      </c>
      <c r="AB5" s="517">
        <v>44835</v>
      </c>
      <c r="AC5" s="517">
        <v>44866</v>
      </c>
      <c r="AD5" s="1184"/>
    </row>
    <row r="6" spans="1:30" s="621" customFormat="1" ht="52.5" customHeight="1" x14ac:dyDescent="0.3">
      <c r="A6" s="1120" t="s">
        <v>213</v>
      </c>
      <c r="B6" s="1120"/>
      <c r="C6" s="1120"/>
      <c r="D6" s="526">
        <f t="shared" ref="D6:AD6" si="0">+D9+D13+D20+D25+D30+D33+D37+D40</f>
        <v>5137500</v>
      </c>
      <c r="E6" s="526">
        <f t="shared" si="0"/>
        <v>1994920.2999999998</v>
      </c>
      <c r="F6" s="526">
        <f t="shared" si="0"/>
        <v>7132420.2999999998</v>
      </c>
      <c r="G6" s="526">
        <f t="shared" si="0"/>
        <v>84000</v>
      </c>
      <c r="H6" s="526">
        <f t="shared" si="0"/>
        <v>96000</v>
      </c>
      <c r="I6" s="526">
        <f t="shared" si="0"/>
        <v>47000</v>
      </c>
      <c r="J6" s="526">
        <f t="shared" si="0"/>
        <v>182500</v>
      </c>
      <c r="K6" s="526">
        <f t="shared" si="0"/>
        <v>209000</v>
      </c>
      <c r="L6" s="526">
        <f t="shared" si="0"/>
        <v>194000</v>
      </c>
      <c r="M6" s="526">
        <f t="shared" si="0"/>
        <v>494500</v>
      </c>
      <c r="N6" s="526">
        <f t="shared" si="0"/>
        <v>499363.5</v>
      </c>
      <c r="O6" s="526">
        <f t="shared" si="0"/>
        <v>306000</v>
      </c>
      <c r="P6" s="526">
        <f t="shared" si="0"/>
        <v>506700</v>
      </c>
      <c r="Q6" s="526">
        <f t="shared" si="0"/>
        <v>164000</v>
      </c>
      <c r="R6" s="526">
        <f t="shared" si="0"/>
        <v>2783063.5</v>
      </c>
      <c r="S6" s="526">
        <f t="shared" si="0"/>
        <v>186000</v>
      </c>
      <c r="T6" s="526">
        <f t="shared" si="0"/>
        <v>934220.29999999993</v>
      </c>
      <c r="U6" s="526">
        <f t="shared" si="0"/>
        <v>685486.5</v>
      </c>
      <c r="V6" s="526">
        <f t="shared" si="0"/>
        <v>894650</v>
      </c>
      <c r="W6" s="526">
        <f t="shared" si="0"/>
        <v>254000</v>
      </c>
      <c r="X6" s="526">
        <f t="shared" si="0"/>
        <v>477000</v>
      </c>
      <c r="Y6" s="526">
        <f t="shared" si="0"/>
        <v>188000</v>
      </c>
      <c r="Z6" s="526">
        <f t="shared" si="0"/>
        <v>186000</v>
      </c>
      <c r="AA6" s="526">
        <f t="shared" si="0"/>
        <v>208000</v>
      </c>
      <c r="AB6" s="526">
        <f t="shared" si="0"/>
        <v>150000</v>
      </c>
      <c r="AC6" s="526">
        <f t="shared" si="0"/>
        <v>186000</v>
      </c>
      <c r="AD6" s="526">
        <f t="shared" si="0"/>
        <v>4349356.8</v>
      </c>
    </row>
    <row r="7" spans="1:30" ht="36.75" customHeight="1" x14ac:dyDescent="0.3">
      <c r="A7" s="518" t="s">
        <v>187</v>
      </c>
      <c r="B7" s="519"/>
      <c r="C7" s="519"/>
      <c r="D7" s="520"/>
      <c r="E7" s="520"/>
      <c r="F7" s="521"/>
      <c r="G7" s="522"/>
      <c r="H7" s="523"/>
      <c r="I7" s="523"/>
      <c r="J7" s="523"/>
      <c r="K7" s="523"/>
      <c r="L7" s="523"/>
      <c r="M7" s="523"/>
      <c r="N7" s="523"/>
      <c r="O7" s="523"/>
      <c r="P7" s="523"/>
      <c r="Q7" s="523"/>
      <c r="R7" s="524"/>
      <c r="S7" s="523"/>
      <c r="T7" s="523"/>
      <c r="U7" s="523"/>
      <c r="V7" s="523"/>
      <c r="W7" s="523"/>
      <c r="X7" s="523"/>
      <c r="Y7" s="523"/>
      <c r="Z7" s="523"/>
      <c r="AA7" s="523"/>
      <c r="AB7" s="523"/>
      <c r="AC7" s="523"/>
      <c r="AD7" s="525"/>
    </row>
    <row r="8" spans="1:30" s="67" customFormat="1" ht="37.5" customHeight="1" x14ac:dyDescent="0.3">
      <c r="A8" s="1085" t="s">
        <v>208</v>
      </c>
      <c r="B8" s="1086"/>
      <c r="C8" s="1086"/>
      <c r="D8" s="1086"/>
      <c r="E8" s="1086"/>
      <c r="F8" s="1087"/>
      <c r="G8" s="222"/>
      <c r="H8" s="222"/>
      <c r="I8" s="222"/>
      <c r="J8" s="222"/>
      <c r="K8" s="222"/>
      <c r="L8" s="222"/>
      <c r="M8" s="222"/>
      <c r="N8" s="222"/>
      <c r="O8" s="222"/>
      <c r="P8" s="222"/>
      <c r="Q8" s="222"/>
      <c r="R8" s="248"/>
      <c r="S8" s="222"/>
      <c r="T8" s="222"/>
      <c r="U8" s="222"/>
      <c r="V8" s="222"/>
      <c r="W8" s="222"/>
      <c r="X8" s="222"/>
      <c r="Y8" s="222"/>
      <c r="Z8" s="222"/>
      <c r="AA8" s="222"/>
      <c r="AB8" s="222"/>
      <c r="AC8" s="222"/>
      <c r="AD8" s="222"/>
    </row>
    <row r="9" spans="1:30" ht="22.5" customHeight="1" x14ac:dyDescent="0.3">
      <c r="A9" s="1114" t="s">
        <v>92</v>
      </c>
      <c r="B9" s="40"/>
      <c r="C9" s="108"/>
      <c r="D9" s="70">
        <f>SUM(D10:D11)</f>
        <v>761950</v>
      </c>
      <c r="E9" s="70">
        <f t="shared" ref="E9:AD9" si="1">SUM(E10:E11)</f>
        <v>0</v>
      </c>
      <c r="F9" s="70">
        <f>+D9+E9</f>
        <v>761950</v>
      </c>
      <c r="G9" s="70">
        <f t="shared" si="1"/>
        <v>37000</v>
      </c>
      <c r="H9" s="70">
        <f t="shared" si="1"/>
        <v>42450</v>
      </c>
      <c r="I9" s="70">
        <f t="shared" si="1"/>
        <v>0</v>
      </c>
      <c r="J9" s="70">
        <f t="shared" si="1"/>
        <v>17500</v>
      </c>
      <c r="K9" s="70">
        <f t="shared" si="1"/>
        <v>54000</v>
      </c>
      <c r="L9" s="70">
        <f t="shared" si="1"/>
        <v>52000</v>
      </c>
      <c r="M9" s="70">
        <f t="shared" si="1"/>
        <v>81000</v>
      </c>
      <c r="N9" s="70">
        <f t="shared" si="1"/>
        <v>43000</v>
      </c>
      <c r="O9" s="70">
        <f t="shared" si="1"/>
        <v>55000</v>
      </c>
      <c r="P9" s="70">
        <f t="shared" si="1"/>
        <v>45000</v>
      </c>
      <c r="Q9" s="70">
        <f t="shared" si="1"/>
        <v>44000</v>
      </c>
      <c r="R9" s="99">
        <f t="shared" si="1"/>
        <v>470950</v>
      </c>
      <c r="S9" s="70">
        <f t="shared" si="1"/>
        <v>31000</v>
      </c>
      <c r="T9" s="70">
        <f t="shared" si="1"/>
        <v>51000</v>
      </c>
      <c r="U9" s="70">
        <f t="shared" si="1"/>
        <v>41000</v>
      </c>
      <c r="V9" s="70">
        <f t="shared" si="1"/>
        <v>41000</v>
      </c>
      <c r="W9" s="70">
        <f t="shared" si="1"/>
        <v>41000</v>
      </c>
      <c r="X9" s="70">
        <f t="shared" si="1"/>
        <v>16000</v>
      </c>
      <c r="Y9" s="70">
        <f t="shared" si="1"/>
        <v>16000</v>
      </c>
      <c r="Z9" s="70">
        <f t="shared" si="1"/>
        <v>16000</v>
      </c>
      <c r="AA9" s="70">
        <f t="shared" si="1"/>
        <v>16000</v>
      </c>
      <c r="AB9" s="70">
        <f t="shared" si="1"/>
        <v>16000</v>
      </c>
      <c r="AC9" s="70">
        <f t="shared" si="1"/>
        <v>6000</v>
      </c>
      <c r="AD9" s="70">
        <f t="shared" si="1"/>
        <v>291000</v>
      </c>
    </row>
    <row r="10" spans="1:30" s="62" customFormat="1" ht="63.75" customHeight="1" x14ac:dyDescent="0.3">
      <c r="A10" s="1116"/>
      <c r="B10" s="117" t="s">
        <v>2</v>
      </c>
      <c r="C10" s="243" t="s">
        <v>114</v>
      </c>
      <c r="D10" s="244">
        <f>+'PREVENCIÓN (Desglose)'!E11</f>
        <v>572500</v>
      </c>
      <c r="E10" s="244">
        <f>+'PREVENCIÓN (Desglose)'!F11</f>
        <v>0</v>
      </c>
      <c r="F10" s="236">
        <f t="shared" ref="F10:F39" si="2">+D10+E10</f>
        <v>572500</v>
      </c>
      <c r="G10" s="61">
        <f>+'PREVENCIÓN (Desglose)'!H11</f>
        <v>37000</v>
      </c>
      <c r="H10" s="61">
        <f>+'PREVENCIÓN (Desglose)'!I11</f>
        <v>37000</v>
      </c>
      <c r="I10" s="61">
        <f>+'PREVENCIÓN (Desglose)'!J11</f>
        <v>0</v>
      </c>
      <c r="J10" s="61">
        <f>+'PREVENCIÓN (Desglose)'!K11</f>
        <v>11500</v>
      </c>
      <c r="K10" s="61">
        <f>+'PREVENCIÓN (Desglose)'!L11</f>
        <v>48000</v>
      </c>
      <c r="L10" s="61">
        <f>+'PREVENCIÓN (Desglose)'!M11</f>
        <v>48000</v>
      </c>
      <c r="M10" s="61">
        <f>+'PREVENCIÓN (Desglose)'!N11</f>
        <v>60000</v>
      </c>
      <c r="N10" s="61">
        <f>+'PREVENCIÓN (Desglose)'!O11</f>
        <v>35000</v>
      </c>
      <c r="O10" s="61">
        <f>+'PREVENCIÓN (Desglose)'!P11</f>
        <v>35000</v>
      </c>
      <c r="P10" s="61">
        <f>+'PREVENCIÓN (Desglose)'!Q11</f>
        <v>35000</v>
      </c>
      <c r="Q10" s="61">
        <f>+'PREVENCIÓN (Desglose)'!R11</f>
        <v>35000</v>
      </c>
      <c r="R10" s="249">
        <f>SUM(G10:Q10)</f>
        <v>381500</v>
      </c>
      <c r="S10" s="61">
        <f>+'PREVENCIÓN (Desglose)'!T11</f>
        <v>31000</v>
      </c>
      <c r="T10" s="61">
        <f>+'PREVENCIÓN (Desglose)'!U11</f>
        <v>31000</v>
      </c>
      <c r="U10" s="61">
        <f>+'PREVENCIÓN (Desglose)'!V11</f>
        <v>31000</v>
      </c>
      <c r="V10" s="61">
        <f>+'PREVENCIÓN (Desglose)'!W11</f>
        <v>31000</v>
      </c>
      <c r="W10" s="61">
        <f>+'PREVENCIÓN (Desglose)'!X11</f>
        <v>31000</v>
      </c>
      <c r="X10" s="61">
        <f>+'PREVENCIÓN (Desglose)'!Y11</f>
        <v>6000</v>
      </c>
      <c r="Y10" s="61">
        <f>+'PREVENCIÓN (Desglose)'!Z11</f>
        <v>6000</v>
      </c>
      <c r="Z10" s="61">
        <f>+'PREVENCIÓN (Desglose)'!AA11</f>
        <v>6000</v>
      </c>
      <c r="AA10" s="61">
        <f>+'PREVENCIÓN (Desglose)'!AB11</f>
        <v>6000</v>
      </c>
      <c r="AB10" s="61">
        <f>+'PREVENCIÓN (Desglose)'!AC11</f>
        <v>6000</v>
      </c>
      <c r="AC10" s="61">
        <f>+'PREVENCIÓN (Desglose)'!AD11</f>
        <v>6000</v>
      </c>
      <c r="AD10" s="83">
        <f>SUM(S10:AC10)</f>
        <v>191000</v>
      </c>
    </row>
    <row r="11" spans="1:30" s="118" customFormat="1" ht="78" customHeight="1" x14ac:dyDescent="0.3">
      <c r="A11" s="1115"/>
      <c r="B11" s="117" t="s">
        <v>3</v>
      </c>
      <c r="C11" s="243" t="s">
        <v>643</v>
      </c>
      <c r="D11" s="202">
        <f>+'PREVENCIÓN (Desglose)'!E18</f>
        <v>189450</v>
      </c>
      <c r="E11" s="202">
        <f>+'PREVENCIÓN (Desglose)'!F18</f>
        <v>0</v>
      </c>
      <c r="F11" s="74">
        <f t="shared" si="2"/>
        <v>189450</v>
      </c>
      <c r="G11" s="81">
        <f>+'PREVENCIÓN (Desglose)'!H18</f>
        <v>0</v>
      </c>
      <c r="H11" s="81">
        <f>+'PREVENCIÓN (Desglose)'!I18</f>
        <v>5450</v>
      </c>
      <c r="I11" s="81">
        <f>+'PREVENCIÓN (Desglose)'!J18</f>
        <v>0</v>
      </c>
      <c r="J11" s="81">
        <f>+'PREVENCIÓN (Desglose)'!K18</f>
        <v>6000</v>
      </c>
      <c r="K11" s="81">
        <f>+'PREVENCIÓN (Desglose)'!L18</f>
        <v>6000</v>
      </c>
      <c r="L11" s="81">
        <f>+'PREVENCIÓN (Desglose)'!M18</f>
        <v>4000</v>
      </c>
      <c r="M11" s="81">
        <f>+'PREVENCIÓN (Desglose)'!N18</f>
        <v>21000</v>
      </c>
      <c r="N11" s="81">
        <f>+'PREVENCIÓN (Desglose)'!O18</f>
        <v>8000</v>
      </c>
      <c r="O11" s="81">
        <f>+'PREVENCIÓN (Desglose)'!P18</f>
        <v>20000</v>
      </c>
      <c r="P11" s="81">
        <f>+'PREVENCIÓN (Desglose)'!Q18</f>
        <v>10000</v>
      </c>
      <c r="Q11" s="81">
        <f>+'PREVENCIÓN (Desglose)'!R18</f>
        <v>9000</v>
      </c>
      <c r="R11" s="250">
        <f t="shared" ref="R11:R41" si="3">SUM(G11:Q11)</f>
        <v>89450</v>
      </c>
      <c r="S11" s="81">
        <f>+'PREVENCIÓN (Desglose)'!T18</f>
        <v>0</v>
      </c>
      <c r="T11" s="81">
        <f>+'PREVENCIÓN (Desglose)'!U18</f>
        <v>20000</v>
      </c>
      <c r="U11" s="81">
        <f>+'PREVENCIÓN (Desglose)'!V18</f>
        <v>10000</v>
      </c>
      <c r="V11" s="81">
        <f>+'PREVENCIÓN (Desglose)'!W18</f>
        <v>10000</v>
      </c>
      <c r="W11" s="81">
        <f>+'PREVENCIÓN (Desglose)'!X18</f>
        <v>10000</v>
      </c>
      <c r="X11" s="81">
        <f>+'PREVENCIÓN (Desglose)'!Y18</f>
        <v>10000</v>
      </c>
      <c r="Y11" s="81">
        <f>+'PREVENCIÓN (Desglose)'!Z18</f>
        <v>10000</v>
      </c>
      <c r="Z11" s="81">
        <f>+'PREVENCIÓN (Desglose)'!AA18</f>
        <v>10000</v>
      </c>
      <c r="AA11" s="81">
        <f>+'PREVENCIÓN (Desglose)'!AB18</f>
        <v>10000</v>
      </c>
      <c r="AB11" s="81">
        <f>+'PREVENCIÓN (Desglose)'!AC18</f>
        <v>10000</v>
      </c>
      <c r="AC11" s="81">
        <f>+'PREVENCIÓN (Desglose)'!AD18</f>
        <v>0</v>
      </c>
      <c r="AD11" s="241">
        <f t="shared" ref="AD11:AD41" si="4">SUM(S11:AC11)</f>
        <v>100000</v>
      </c>
    </row>
    <row r="12" spans="1:30" s="67" customFormat="1" ht="48" customHeight="1" x14ac:dyDescent="0.3">
      <c r="A12" s="238" t="s">
        <v>209</v>
      </c>
      <c r="B12" s="239"/>
      <c r="C12" s="240"/>
      <c r="D12" s="240"/>
      <c r="E12" s="240"/>
      <c r="F12" s="725"/>
      <c r="G12" s="222"/>
      <c r="H12" s="222"/>
      <c r="I12" s="222"/>
      <c r="J12" s="222"/>
      <c r="K12" s="222"/>
      <c r="L12" s="222"/>
      <c r="M12" s="222"/>
      <c r="N12" s="222"/>
      <c r="O12" s="222"/>
      <c r="P12" s="222"/>
      <c r="Q12" s="222"/>
      <c r="R12" s="248">
        <f t="shared" si="3"/>
        <v>0</v>
      </c>
      <c r="S12" s="222"/>
      <c r="T12" s="222"/>
      <c r="U12" s="222"/>
      <c r="V12" s="222"/>
      <c r="W12" s="222"/>
      <c r="X12" s="222"/>
      <c r="Y12" s="222"/>
      <c r="Z12" s="222"/>
      <c r="AA12" s="222"/>
      <c r="AB12" s="222"/>
      <c r="AC12" s="222"/>
      <c r="AD12" s="222"/>
    </row>
    <row r="13" spans="1:30" ht="24.75" customHeight="1" x14ac:dyDescent="0.3">
      <c r="A13" s="1080" t="s">
        <v>110</v>
      </c>
      <c r="B13" s="40"/>
      <c r="C13" s="108"/>
      <c r="D13" s="70">
        <f>SUM(D14:D17)</f>
        <v>1881220</v>
      </c>
      <c r="E13" s="70">
        <f>SUM(E14:E17)</f>
        <v>300000</v>
      </c>
      <c r="F13" s="70">
        <f>SUM(F14:F17)</f>
        <v>2181220</v>
      </c>
      <c r="G13" s="70">
        <f t="shared" ref="G13:AD13" si="5">SUM(G14:G17)</f>
        <v>25000</v>
      </c>
      <c r="H13" s="70">
        <f t="shared" si="5"/>
        <v>28220</v>
      </c>
      <c r="I13" s="70">
        <f t="shared" si="5"/>
        <v>36000</v>
      </c>
      <c r="J13" s="70">
        <f t="shared" si="5"/>
        <v>57000</v>
      </c>
      <c r="K13" s="70">
        <f t="shared" si="5"/>
        <v>73000</v>
      </c>
      <c r="L13" s="70">
        <f t="shared" si="5"/>
        <v>70000</v>
      </c>
      <c r="M13" s="70">
        <f t="shared" si="5"/>
        <v>109000</v>
      </c>
      <c r="N13" s="70">
        <f t="shared" si="5"/>
        <v>296863.5</v>
      </c>
      <c r="O13" s="70">
        <f t="shared" si="5"/>
        <v>84000</v>
      </c>
      <c r="P13" s="70">
        <f t="shared" si="5"/>
        <v>74000</v>
      </c>
      <c r="Q13" s="70">
        <f t="shared" si="5"/>
        <v>76000</v>
      </c>
      <c r="R13" s="70">
        <f t="shared" si="5"/>
        <v>929083.5</v>
      </c>
      <c r="S13" s="70">
        <f t="shared" si="5"/>
        <v>87000</v>
      </c>
      <c r="T13" s="70">
        <f t="shared" si="5"/>
        <v>93000</v>
      </c>
      <c r="U13" s="70">
        <f t="shared" si="5"/>
        <v>170136.5</v>
      </c>
      <c r="V13" s="70">
        <f t="shared" si="5"/>
        <v>93000</v>
      </c>
      <c r="W13" s="70">
        <f t="shared" si="5"/>
        <v>99000</v>
      </c>
      <c r="X13" s="70">
        <f t="shared" si="5"/>
        <v>368000</v>
      </c>
      <c r="Y13" s="70">
        <f t="shared" si="5"/>
        <v>74000</v>
      </c>
      <c r="Z13" s="70">
        <f t="shared" si="5"/>
        <v>66000</v>
      </c>
      <c r="AA13" s="70">
        <f t="shared" si="5"/>
        <v>74000</v>
      </c>
      <c r="AB13" s="70">
        <f t="shared" si="5"/>
        <v>66000</v>
      </c>
      <c r="AC13" s="70">
        <f t="shared" si="5"/>
        <v>62000</v>
      </c>
      <c r="AD13" s="70">
        <f t="shared" si="5"/>
        <v>1252136.5</v>
      </c>
    </row>
    <row r="14" spans="1:30" s="62" customFormat="1" ht="78" customHeight="1" x14ac:dyDescent="0.3">
      <c r="A14" s="1081"/>
      <c r="B14" s="117" t="s">
        <v>2</v>
      </c>
      <c r="C14" s="243" t="s">
        <v>207</v>
      </c>
      <c r="D14" s="244">
        <f>+'PREVENCIÓN (Desglose)'!E23</f>
        <v>1245000</v>
      </c>
      <c r="E14" s="244">
        <f>+'PREVENCIÓN (Desglose)'!F23</f>
        <v>0</v>
      </c>
      <c r="F14" s="236">
        <f t="shared" si="2"/>
        <v>1245000</v>
      </c>
      <c r="G14" s="61">
        <f>+'PREVENCIÓN (Desglose)'!H23</f>
        <v>25000</v>
      </c>
      <c r="H14" s="61">
        <f>+'PREVENCIÓN (Desglose)'!I23</f>
        <v>25000</v>
      </c>
      <c r="I14" s="61">
        <f>+'PREVENCIÓN (Desglose)'!J23</f>
        <v>36000</v>
      </c>
      <c r="J14" s="61">
        <f>+'PREVENCIÓN (Desglose)'!K23</f>
        <v>53000</v>
      </c>
      <c r="K14" s="61">
        <f>+'PREVENCIÓN (Desglose)'!L23</f>
        <v>70000</v>
      </c>
      <c r="L14" s="61">
        <f>+'PREVENCIÓN (Desglose)'!M23</f>
        <v>70000</v>
      </c>
      <c r="M14" s="61">
        <f>+'PREVENCIÓN (Desglose)'!N23</f>
        <v>76000</v>
      </c>
      <c r="N14" s="61">
        <f>+'PREVENCIÓN (Desglose)'!O23</f>
        <v>51000</v>
      </c>
      <c r="O14" s="61">
        <f>+'PREVENCIÓN (Desglose)'!P23</f>
        <v>51000</v>
      </c>
      <c r="P14" s="61">
        <f>+'PREVENCIÓN (Desglose)'!Q23</f>
        <v>51000</v>
      </c>
      <c r="Q14" s="61">
        <f>+'PREVENCIÓN (Desglose)'!R23</f>
        <v>51000</v>
      </c>
      <c r="R14" s="249">
        <f t="shared" si="3"/>
        <v>559000</v>
      </c>
      <c r="S14" s="61">
        <f>+'PREVENCIÓN (Desglose)'!T23</f>
        <v>76000</v>
      </c>
      <c r="T14" s="61">
        <f>+'PREVENCIÓN (Desglose)'!U23</f>
        <v>76000</v>
      </c>
      <c r="U14" s="61">
        <f>+'PREVENCIÓN (Desglose)'!V23</f>
        <v>76000</v>
      </c>
      <c r="V14" s="61">
        <f>+'PREVENCIÓN (Desglose)'!W23</f>
        <v>76000</v>
      </c>
      <c r="W14" s="61">
        <f>+'PREVENCIÓN (Desglose)'!X23</f>
        <v>76000</v>
      </c>
      <c r="X14" s="61">
        <f>+'PREVENCIÓN (Desglose)'!Y23</f>
        <v>51000</v>
      </c>
      <c r="Y14" s="61">
        <f>+'PREVENCIÓN (Desglose)'!Z23</f>
        <v>51000</v>
      </c>
      <c r="Z14" s="61">
        <f>+'PREVENCIÓN (Desglose)'!AA23</f>
        <v>51000</v>
      </c>
      <c r="AA14" s="61">
        <f>+'PREVENCIÓN (Desglose)'!AB23</f>
        <v>51000</v>
      </c>
      <c r="AB14" s="61">
        <f>+'PREVENCIÓN (Desglose)'!AC23</f>
        <v>51000</v>
      </c>
      <c r="AC14" s="61">
        <f>+'PREVENCIÓN (Desglose)'!AD23</f>
        <v>51000</v>
      </c>
      <c r="AD14" s="83">
        <f t="shared" si="4"/>
        <v>686000</v>
      </c>
    </row>
    <row r="15" spans="1:30" s="62" customFormat="1" ht="77.25" customHeight="1" x14ac:dyDescent="0.3">
      <c r="A15" s="1081"/>
      <c r="B15" s="117" t="s">
        <v>3</v>
      </c>
      <c r="C15" s="243" t="s">
        <v>644</v>
      </c>
      <c r="D15" s="202">
        <f>+'PREVENCIÓN (Desglose)'!E31</f>
        <v>336220</v>
      </c>
      <c r="E15" s="202">
        <f>+'PREVENCIÓN (Desglose)'!F31</f>
        <v>0</v>
      </c>
      <c r="F15" s="74">
        <f t="shared" si="2"/>
        <v>336220</v>
      </c>
      <c r="G15" s="81">
        <f>+'PREVENCIÓN (Desglose)'!H31</f>
        <v>0</v>
      </c>
      <c r="H15" s="81">
        <f>+'PREVENCIÓN (Desglose)'!I31</f>
        <v>3220</v>
      </c>
      <c r="I15" s="81">
        <f>+'PREVENCIÓN (Desglose)'!J31</f>
        <v>0</v>
      </c>
      <c r="J15" s="81">
        <f>+'PREVENCIÓN (Desglose)'!K31</f>
        <v>4000</v>
      </c>
      <c r="K15" s="81">
        <f>+'PREVENCIÓN (Desglose)'!L31</f>
        <v>3000</v>
      </c>
      <c r="L15" s="81">
        <f>+'PREVENCIÓN (Desglose)'!M31</f>
        <v>0</v>
      </c>
      <c r="M15" s="81">
        <f>+'PREVENCIÓN (Desglose)'!N31</f>
        <v>33000</v>
      </c>
      <c r="N15" s="81">
        <f>+'PREVENCIÓN (Desglose)'!O31</f>
        <v>23000</v>
      </c>
      <c r="O15" s="81">
        <f>+'PREVENCIÓN (Desglose)'!P31</f>
        <v>33000</v>
      </c>
      <c r="P15" s="81">
        <f>+'PREVENCIÓN (Desglose)'!Q31</f>
        <v>23000</v>
      </c>
      <c r="Q15" s="81">
        <f>+'PREVENCIÓN (Desglose)'!R31</f>
        <v>25000</v>
      </c>
      <c r="R15" s="250">
        <f t="shared" si="3"/>
        <v>147220</v>
      </c>
      <c r="S15" s="81">
        <f>+'PREVENCIÓN (Desglose)'!T31</f>
        <v>11000</v>
      </c>
      <c r="T15" s="81">
        <f>+'PREVENCIÓN (Desglose)'!U31</f>
        <v>17000</v>
      </c>
      <c r="U15" s="81">
        <f>+'PREVENCIÓN (Desglose)'!V31</f>
        <v>17000</v>
      </c>
      <c r="V15" s="81">
        <f>+'PREVENCIÓN (Desglose)'!W31</f>
        <v>17000</v>
      </c>
      <c r="W15" s="81">
        <f>+'PREVENCIÓN (Desglose)'!X31</f>
        <v>23000</v>
      </c>
      <c r="X15" s="81">
        <f>+'PREVENCIÓN (Desglose)'!Y31</f>
        <v>17000</v>
      </c>
      <c r="Y15" s="81">
        <f>+'PREVENCIÓN (Desglose)'!Z31</f>
        <v>23000</v>
      </c>
      <c r="Z15" s="81">
        <f>+'PREVENCIÓN (Desglose)'!AA31</f>
        <v>15000</v>
      </c>
      <c r="AA15" s="81">
        <f>+'PREVENCIÓN (Desglose)'!AB31</f>
        <v>23000</v>
      </c>
      <c r="AB15" s="81">
        <f>+'PREVENCIÓN (Desglose)'!AC31</f>
        <v>15000</v>
      </c>
      <c r="AC15" s="81">
        <f>+'PREVENCIÓN (Desglose)'!AD31</f>
        <v>11000</v>
      </c>
      <c r="AD15" s="241">
        <f t="shared" si="4"/>
        <v>189000</v>
      </c>
    </row>
    <row r="16" spans="1:30" s="62" customFormat="1" ht="96" customHeight="1" x14ac:dyDescent="0.3">
      <c r="A16" s="1081"/>
      <c r="B16" s="117" t="s">
        <v>4</v>
      </c>
      <c r="C16" s="243" t="s">
        <v>391</v>
      </c>
      <c r="D16" s="202">
        <f>+R16+AD16</f>
        <v>300000</v>
      </c>
      <c r="E16" s="202">
        <v>0</v>
      </c>
      <c r="F16" s="74">
        <f t="shared" si="2"/>
        <v>300000</v>
      </c>
      <c r="G16" s="81">
        <f>+'PREVENCIÓN (Desglose)'!H35</f>
        <v>0</v>
      </c>
      <c r="H16" s="81">
        <f>+'PREVENCIÓN (Desglose)'!I35</f>
        <v>0</v>
      </c>
      <c r="I16" s="81">
        <f>+'PREVENCIÓN (Desglose)'!J35</f>
        <v>0</v>
      </c>
      <c r="J16" s="81">
        <f>+'PREVENCIÓN (Desglose)'!K35</f>
        <v>0</v>
      </c>
      <c r="K16" s="81">
        <f>+'PREVENCIÓN (Desglose)'!L35</f>
        <v>0</v>
      </c>
      <c r="L16" s="81">
        <f>+'PREVENCIÓN (Desglose)'!M35</f>
        <v>0</v>
      </c>
      <c r="M16" s="81">
        <f>+'PREVENCIÓN (Desglose)'!N35</f>
        <v>0</v>
      </c>
      <c r="N16" s="81">
        <f>+'PREVENCIÓN (Desglose)'!O35</f>
        <v>72863.5</v>
      </c>
      <c r="O16" s="81">
        <f>+'PREVENCIÓN (Desglose)'!P35</f>
        <v>0</v>
      </c>
      <c r="P16" s="81">
        <f>+'PREVENCIÓN (Desglose)'!Q35</f>
        <v>0</v>
      </c>
      <c r="Q16" s="81">
        <f>+'PREVENCIÓN (Desglose)'!R35</f>
        <v>0</v>
      </c>
      <c r="R16" s="250">
        <f t="shared" si="3"/>
        <v>72863.5</v>
      </c>
      <c r="S16" s="81">
        <f>+'PREVENCIÓN (Desglose)'!T35</f>
        <v>0</v>
      </c>
      <c r="T16" s="81">
        <f>+'PREVENCIÓN (Desglose)'!U35</f>
        <v>0</v>
      </c>
      <c r="U16" s="81">
        <f>+'PREVENCIÓN (Desglose)'!V35</f>
        <v>77136.5</v>
      </c>
      <c r="V16" s="81">
        <f>+'PREVENCIÓN (Desglose)'!W35</f>
        <v>0</v>
      </c>
      <c r="W16" s="81">
        <f>+'PREVENCIÓN (Desglose)'!X35</f>
        <v>0</v>
      </c>
      <c r="X16" s="81">
        <f>+'PREVENCIÓN (Desglose)'!Y35</f>
        <v>150000</v>
      </c>
      <c r="Y16" s="81">
        <f>+'PREVENCIÓN (Desglose)'!Z35</f>
        <v>0</v>
      </c>
      <c r="Z16" s="81">
        <f>+'PREVENCIÓN (Desglose)'!AA35</f>
        <v>0</v>
      </c>
      <c r="AA16" s="81">
        <f>+'PREVENCIÓN (Desglose)'!AB35</f>
        <v>0</v>
      </c>
      <c r="AB16" s="81">
        <f>+'PREVENCIÓN (Desglose)'!AC35</f>
        <v>0</v>
      </c>
      <c r="AC16" s="81">
        <f>+'PREVENCIÓN (Desglose)'!AD35</f>
        <v>0</v>
      </c>
      <c r="AD16" s="241">
        <f t="shared" si="4"/>
        <v>227136.5</v>
      </c>
    </row>
    <row r="17" spans="1:30" s="62" customFormat="1" ht="106.5" customHeight="1" x14ac:dyDescent="0.3">
      <c r="A17" s="1082"/>
      <c r="B17" s="117" t="s">
        <v>8</v>
      </c>
      <c r="C17" s="243" t="s">
        <v>392</v>
      </c>
      <c r="D17" s="202">
        <v>0</v>
      </c>
      <c r="E17" s="202">
        <f>+R17+AD17</f>
        <v>300000</v>
      </c>
      <c r="F17" s="74">
        <f>+D17+E17</f>
        <v>300000</v>
      </c>
      <c r="G17" s="81">
        <f>+'PREVENCIÓN (Desglose)'!H37</f>
        <v>0</v>
      </c>
      <c r="H17" s="81">
        <f>+'PREVENCIÓN (Desglose)'!I37</f>
        <v>0</v>
      </c>
      <c r="I17" s="81">
        <f>+'PREVENCIÓN (Desglose)'!J37</f>
        <v>0</v>
      </c>
      <c r="J17" s="81">
        <f>+'PREVENCIÓN (Desglose)'!K37</f>
        <v>0</v>
      </c>
      <c r="K17" s="81">
        <f>+'PREVENCIÓN (Desglose)'!L37</f>
        <v>0</v>
      </c>
      <c r="L17" s="81">
        <f>+'PREVENCIÓN (Desglose)'!M37</f>
        <v>0</v>
      </c>
      <c r="M17" s="81">
        <f>+'PREVENCIÓN (Desglose)'!N37</f>
        <v>0</v>
      </c>
      <c r="N17" s="81">
        <f>+'PREVENCIÓN (Desglose)'!O37</f>
        <v>150000</v>
      </c>
      <c r="O17" s="81">
        <f>+'PREVENCIÓN (Desglose)'!P37</f>
        <v>0</v>
      </c>
      <c r="P17" s="81">
        <f>+'PREVENCIÓN (Desglose)'!Q37</f>
        <v>0</v>
      </c>
      <c r="Q17" s="81">
        <f>+'PREVENCIÓN (Desglose)'!R37</f>
        <v>0</v>
      </c>
      <c r="R17" s="615">
        <f t="shared" si="3"/>
        <v>150000</v>
      </c>
      <c r="S17" s="81">
        <f>+'PREVENCIÓN (Desglose)'!T37</f>
        <v>0</v>
      </c>
      <c r="T17" s="81">
        <f>+'PREVENCIÓN (Desglose)'!U37</f>
        <v>0</v>
      </c>
      <c r="U17" s="81">
        <f>+'PREVENCIÓN (Desglose)'!V37</f>
        <v>0</v>
      </c>
      <c r="V17" s="81">
        <f>+'PREVENCIÓN (Desglose)'!W37</f>
        <v>0</v>
      </c>
      <c r="W17" s="81">
        <f>+'PREVENCIÓN (Desglose)'!X37</f>
        <v>0</v>
      </c>
      <c r="X17" s="81">
        <f>+'PREVENCIÓN (Desglose)'!Y37</f>
        <v>150000</v>
      </c>
      <c r="Y17" s="81">
        <f>+'PREVENCIÓN (Desglose)'!Z37</f>
        <v>0</v>
      </c>
      <c r="Z17" s="81">
        <f>+'PREVENCIÓN (Desglose)'!AA37</f>
        <v>0</v>
      </c>
      <c r="AA17" s="81">
        <f>+'PREVENCIÓN (Desglose)'!AB37</f>
        <v>0</v>
      </c>
      <c r="AB17" s="81">
        <f>+'PREVENCIÓN (Desglose)'!AC37</f>
        <v>0</v>
      </c>
      <c r="AC17" s="81">
        <f>+'PREVENCIÓN (Desglose)'!AD37</f>
        <v>0</v>
      </c>
      <c r="AD17" s="619">
        <f>SUM(S17:AC17)</f>
        <v>150000</v>
      </c>
    </row>
    <row r="18" spans="1:30" s="67" customFormat="1" ht="40.5" customHeight="1" x14ac:dyDescent="0.3">
      <c r="A18" s="237" t="s">
        <v>186</v>
      </c>
      <c r="B18" s="233"/>
      <c r="C18" s="219"/>
      <c r="D18" s="219"/>
      <c r="E18" s="219"/>
      <c r="F18" s="724"/>
      <c r="G18" s="220"/>
      <c r="H18" s="220"/>
      <c r="I18" s="220"/>
      <c r="J18" s="220"/>
      <c r="K18" s="220"/>
      <c r="L18" s="220"/>
      <c r="M18" s="220"/>
      <c r="N18" s="220"/>
      <c r="O18" s="220"/>
      <c r="P18" s="220"/>
      <c r="Q18" s="220"/>
      <c r="R18" s="247">
        <f t="shared" si="3"/>
        <v>0</v>
      </c>
      <c r="S18" s="220"/>
      <c r="T18" s="220"/>
      <c r="U18" s="220"/>
      <c r="V18" s="220"/>
      <c r="W18" s="220"/>
      <c r="X18" s="220"/>
      <c r="Y18" s="220"/>
      <c r="Z18" s="220"/>
      <c r="AA18" s="220"/>
      <c r="AB18" s="220"/>
      <c r="AC18" s="220"/>
      <c r="AD18" s="242">
        <f t="shared" si="4"/>
        <v>0</v>
      </c>
    </row>
    <row r="19" spans="1:30" s="67" customFormat="1" ht="43.5" customHeight="1" x14ac:dyDescent="0.3">
      <c r="A19" s="238" t="s">
        <v>210</v>
      </c>
      <c r="B19" s="239"/>
      <c r="C19" s="240"/>
      <c r="D19" s="240"/>
      <c r="E19" s="240"/>
      <c r="F19" s="725"/>
      <c r="G19" s="222"/>
      <c r="H19" s="222"/>
      <c r="I19" s="222"/>
      <c r="J19" s="222"/>
      <c r="K19" s="222"/>
      <c r="L19" s="222"/>
      <c r="M19" s="222"/>
      <c r="N19" s="222"/>
      <c r="O19" s="222"/>
      <c r="P19" s="222"/>
      <c r="Q19" s="222"/>
      <c r="R19" s="248">
        <f t="shared" si="3"/>
        <v>0</v>
      </c>
      <c r="S19" s="222"/>
      <c r="T19" s="222"/>
      <c r="U19" s="222"/>
      <c r="V19" s="222"/>
      <c r="W19" s="222"/>
      <c r="X19" s="222"/>
      <c r="Y19" s="222"/>
      <c r="Z19" s="222"/>
      <c r="AA19" s="222"/>
      <c r="AB19" s="222"/>
      <c r="AC19" s="222"/>
      <c r="AD19" s="236">
        <f t="shared" si="4"/>
        <v>0</v>
      </c>
    </row>
    <row r="20" spans="1:30" ht="25.5" customHeight="1" x14ac:dyDescent="0.3">
      <c r="A20" s="1080" t="s">
        <v>593</v>
      </c>
      <c r="B20" s="40"/>
      <c r="C20" s="108"/>
      <c r="D20" s="70">
        <f>+D21+D22</f>
        <v>912500</v>
      </c>
      <c r="E20" s="70">
        <f t="shared" ref="E20:AD20" si="6">+E21+E22</f>
        <v>0</v>
      </c>
      <c r="F20" s="70">
        <f t="shared" si="6"/>
        <v>912500</v>
      </c>
      <c r="G20" s="70">
        <f t="shared" si="6"/>
        <v>22000</v>
      </c>
      <c r="H20" s="70">
        <f t="shared" si="6"/>
        <v>22000</v>
      </c>
      <c r="I20" s="70">
        <f t="shared" si="6"/>
        <v>11000</v>
      </c>
      <c r="J20" s="70">
        <f t="shared" si="6"/>
        <v>76500</v>
      </c>
      <c r="K20" s="70">
        <f t="shared" si="6"/>
        <v>22000</v>
      </c>
      <c r="L20" s="70">
        <f t="shared" si="6"/>
        <v>22000</v>
      </c>
      <c r="M20" s="70">
        <f t="shared" si="6"/>
        <v>122000</v>
      </c>
      <c r="N20" s="70">
        <f t="shared" si="6"/>
        <v>52000</v>
      </c>
      <c r="O20" s="70">
        <f t="shared" si="6"/>
        <v>42000</v>
      </c>
      <c r="P20" s="70">
        <f t="shared" si="6"/>
        <v>102000</v>
      </c>
      <c r="Q20" s="70">
        <f t="shared" si="6"/>
        <v>22000</v>
      </c>
      <c r="R20" s="70">
        <f t="shared" si="6"/>
        <v>515500</v>
      </c>
      <c r="S20" s="70">
        <f t="shared" si="6"/>
        <v>17000</v>
      </c>
      <c r="T20" s="70">
        <f t="shared" si="6"/>
        <v>37000</v>
      </c>
      <c r="U20" s="70">
        <f t="shared" si="6"/>
        <v>37000</v>
      </c>
      <c r="V20" s="70">
        <f t="shared" si="6"/>
        <v>97000</v>
      </c>
      <c r="W20" s="70">
        <f t="shared" si="6"/>
        <v>27000</v>
      </c>
      <c r="X20" s="70">
        <f t="shared" si="6"/>
        <v>27000</v>
      </c>
      <c r="Y20" s="70">
        <f t="shared" si="6"/>
        <v>27000</v>
      </c>
      <c r="Z20" s="70">
        <f t="shared" si="6"/>
        <v>27000</v>
      </c>
      <c r="AA20" s="70">
        <f t="shared" si="6"/>
        <v>67000</v>
      </c>
      <c r="AB20" s="70">
        <f t="shared" si="6"/>
        <v>17000</v>
      </c>
      <c r="AC20" s="70">
        <f t="shared" si="6"/>
        <v>17000</v>
      </c>
      <c r="AD20" s="70">
        <f t="shared" si="6"/>
        <v>397000</v>
      </c>
    </row>
    <row r="21" spans="1:30" s="62" customFormat="1" ht="138.75" customHeight="1" x14ac:dyDescent="0.3">
      <c r="A21" s="1081"/>
      <c r="B21" s="117" t="s">
        <v>2</v>
      </c>
      <c r="C21" s="245" t="s">
        <v>184</v>
      </c>
      <c r="D21" s="244">
        <f>+'PREVENCIÓN (Desglose)'!E42</f>
        <v>412500</v>
      </c>
      <c r="E21" s="244">
        <f>+'PREVENCIÓN (Desglose)'!F42</f>
        <v>0</v>
      </c>
      <c r="F21" s="236">
        <f t="shared" si="2"/>
        <v>412500</v>
      </c>
      <c r="G21" s="61">
        <f>+'PREVENCIÓN (Desglose)'!H42</f>
        <v>22000</v>
      </c>
      <c r="H21" s="61">
        <f>+'PREVENCIÓN (Desglose)'!I42</f>
        <v>22000</v>
      </c>
      <c r="I21" s="61">
        <f>+'PREVENCIÓN (Desglose)'!J42</f>
        <v>11000</v>
      </c>
      <c r="J21" s="61">
        <f>+'PREVENCIÓN (Desglose)'!K42</f>
        <v>16500</v>
      </c>
      <c r="K21" s="61">
        <f>+'PREVENCIÓN (Desglose)'!L42</f>
        <v>22000</v>
      </c>
      <c r="L21" s="61">
        <f>+'PREVENCIÓN (Desglose)'!M42</f>
        <v>22000</v>
      </c>
      <c r="M21" s="61">
        <f>+'PREVENCIÓN (Desglose)'!N42</f>
        <v>22000</v>
      </c>
      <c r="N21" s="61">
        <f>+'PREVENCIÓN (Desglose)'!O42</f>
        <v>22000</v>
      </c>
      <c r="O21" s="61">
        <f>+'PREVENCIÓN (Desglose)'!P42</f>
        <v>22000</v>
      </c>
      <c r="P21" s="61">
        <f>+'PREVENCIÓN (Desglose)'!Q42</f>
        <v>22000</v>
      </c>
      <c r="Q21" s="61">
        <f>+'PREVENCIÓN (Desglose)'!R42</f>
        <v>22000</v>
      </c>
      <c r="R21" s="249">
        <f t="shared" si="3"/>
        <v>225500</v>
      </c>
      <c r="S21" s="61">
        <f>+'PREVENCIÓN (Desglose)'!T42</f>
        <v>17000</v>
      </c>
      <c r="T21" s="61">
        <f>+'PREVENCIÓN (Desglose)'!U42</f>
        <v>17000</v>
      </c>
      <c r="U21" s="61">
        <f>+'PREVENCIÓN (Desglose)'!V42</f>
        <v>17000</v>
      </c>
      <c r="V21" s="61">
        <f>+'PREVENCIÓN (Desglose)'!W42</f>
        <v>17000</v>
      </c>
      <c r="W21" s="61">
        <f>+'PREVENCIÓN (Desglose)'!X42</f>
        <v>17000</v>
      </c>
      <c r="X21" s="61">
        <f>+'PREVENCIÓN (Desglose)'!Y42</f>
        <v>17000</v>
      </c>
      <c r="Y21" s="61">
        <f>+'PREVENCIÓN (Desglose)'!Z42</f>
        <v>17000</v>
      </c>
      <c r="Z21" s="61">
        <f>+'PREVENCIÓN (Desglose)'!AA42</f>
        <v>17000</v>
      </c>
      <c r="AA21" s="61">
        <f>+'PREVENCIÓN (Desglose)'!AB42</f>
        <v>17000</v>
      </c>
      <c r="AB21" s="61">
        <f>+'PREVENCIÓN (Desglose)'!AC42</f>
        <v>17000</v>
      </c>
      <c r="AC21" s="61">
        <f>+'PREVENCIÓN (Desglose)'!AD42</f>
        <v>17000</v>
      </c>
      <c r="AD21" s="83">
        <f t="shared" si="4"/>
        <v>187000</v>
      </c>
    </row>
    <row r="22" spans="1:30" s="62" customFormat="1" ht="130.5" customHeight="1" x14ac:dyDescent="0.3">
      <c r="A22" s="1082"/>
      <c r="B22" s="117" t="s">
        <v>3</v>
      </c>
      <c r="C22" s="243" t="s">
        <v>222</v>
      </c>
      <c r="D22" s="244">
        <f>+'PREVENCIÓN (Desglose)'!E46</f>
        <v>500000</v>
      </c>
      <c r="E22" s="244">
        <f>+'PREVENCIÓN (Desglose)'!F46</f>
        <v>0</v>
      </c>
      <c r="F22" s="236">
        <f t="shared" si="2"/>
        <v>500000</v>
      </c>
      <c r="G22" s="61">
        <f>+'PREVENCIÓN (Desglose)'!H46</f>
        <v>0</v>
      </c>
      <c r="H22" s="61">
        <f>+'PREVENCIÓN (Desglose)'!I46</f>
        <v>0</v>
      </c>
      <c r="I22" s="61">
        <f>+'PREVENCIÓN (Desglose)'!J46</f>
        <v>0</v>
      </c>
      <c r="J22" s="61">
        <f>+'PREVENCIÓN (Desglose)'!K46</f>
        <v>60000</v>
      </c>
      <c r="K22" s="61">
        <f>+'PREVENCIÓN (Desglose)'!L46</f>
        <v>0</v>
      </c>
      <c r="L22" s="61">
        <f>+'PREVENCIÓN (Desglose)'!M46</f>
        <v>0</v>
      </c>
      <c r="M22" s="61">
        <f>+'PREVENCIÓN (Desglose)'!N46</f>
        <v>100000</v>
      </c>
      <c r="N22" s="61">
        <f>+'PREVENCIÓN (Desglose)'!O46</f>
        <v>30000</v>
      </c>
      <c r="O22" s="61">
        <f>+'PREVENCIÓN (Desglose)'!P46</f>
        <v>20000</v>
      </c>
      <c r="P22" s="61">
        <f>+'PREVENCIÓN (Desglose)'!Q46</f>
        <v>80000</v>
      </c>
      <c r="Q22" s="61">
        <f>+'PREVENCIÓN (Desglose)'!R46</f>
        <v>0</v>
      </c>
      <c r="R22" s="249">
        <f t="shared" si="3"/>
        <v>290000</v>
      </c>
      <c r="S22" s="61">
        <f>+'PREVENCIÓN (Desglose)'!T46</f>
        <v>0</v>
      </c>
      <c r="T22" s="61">
        <f>+'PREVENCIÓN (Desglose)'!U46</f>
        <v>20000</v>
      </c>
      <c r="U22" s="61">
        <f>+'PREVENCIÓN (Desglose)'!V46</f>
        <v>20000</v>
      </c>
      <c r="V22" s="61">
        <f>+'PREVENCIÓN (Desglose)'!W46</f>
        <v>80000</v>
      </c>
      <c r="W22" s="61">
        <f>+'PREVENCIÓN (Desglose)'!X46</f>
        <v>10000</v>
      </c>
      <c r="X22" s="61">
        <f>+'PREVENCIÓN (Desglose)'!Y46</f>
        <v>10000</v>
      </c>
      <c r="Y22" s="61">
        <f>+'PREVENCIÓN (Desglose)'!Z46</f>
        <v>10000</v>
      </c>
      <c r="Z22" s="61">
        <f>+'PREVENCIÓN (Desglose)'!AA46</f>
        <v>10000</v>
      </c>
      <c r="AA22" s="61">
        <f>+'PREVENCIÓN (Desglose)'!AB46</f>
        <v>50000</v>
      </c>
      <c r="AB22" s="61">
        <f>+'PREVENCIÓN (Desglose)'!AC46</f>
        <v>0</v>
      </c>
      <c r="AC22" s="61">
        <f>+'PREVENCIÓN (Desglose)'!AD46</f>
        <v>0</v>
      </c>
      <c r="AD22" s="83">
        <f t="shared" si="4"/>
        <v>210000</v>
      </c>
    </row>
    <row r="23" spans="1:30" s="67" customFormat="1" ht="39.75" customHeight="1" x14ac:dyDescent="0.3">
      <c r="A23" s="237" t="s">
        <v>534</v>
      </c>
      <c r="B23" s="233"/>
      <c r="C23" s="219"/>
      <c r="D23" s="219"/>
      <c r="E23" s="219"/>
      <c r="F23" s="724"/>
      <c r="G23" s="220"/>
      <c r="H23" s="220"/>
      <c r="I23" s="220"/>
      <c r="J23" s="220"/>
      <c r="K23" s="220"/>
      <c r="L23" s="220"/>
      <c r="M23" s="220"/>
      <c r="N23" s="220"/>
      <c r="O23" s="220"/>
      <c r="P23" s="220"/>
      <c r="Q23" s="220"/>
      <c r="R23" s="247">
        <f t="shared" si="3"/>
        <v>0</v>
      </c>
      <c r="S23" s="220"/>
      <c r="T23" s="220"/>
      <c r="U23" s="220"/>
      <c r="V23" s="220"/>
      <c r="W23" s="220"/>
      <c r="X23" s="220"/>
      <c r="Y23" s="220"/>
      <c r="Z23" s="220"/>
      <c r="AA23" s="220"/>
      <c r="AB23" s="220"/>
      <c r="AC23" s="220"/>
      <c r="AD23" s="242">
        <f t="shared" si="4"/>
        <v>0</v>
      </c>
    </row>
    <row r="24" spans="1:30" s="67" customFormat="1" ht="47.25" customHeight="1" x14ac:dyDescent="0.3">
      <c r="A24" s="238" t="s">
        <v>211</v>
      </c>
      <c r="B24" s="239"/>
      <c r="C24" s="240"/>
      <c r="D24" s="240"/>
      <c r="E24" s="240"/>
      <c r="F24" s="725"/>
      <c r="G24" s="222"/>
      <c r="H24" s="222"/>
      <c r="I24" s="222"/>
      <c r="J24" s="222"/>
      <c r="K24" s="222"/>
      <c r="L24" s="222"/>
      <c r="M24" s="222"/>
      <c r="N24" s="222"/>
      <c r="O24" s="222"/>
      <c r="P24" s="222"/>
      <c r="Q24" s="222"/>
      <c r="R24" s="248">
        <f t="shared" si="3"/>
        <v>0</v>
      </c>
      <c r="S24" s="222"/>
      <c r="T24" s="222"/>
      <c r="U24" s="222"/>
      <c r="V24" s="222"/>
      <c r="W24" s="222"/>
      <c r="X24" s="222"/>
      <c r="Y24" s="222"/>
      <c r="Z24" s="222"/>
      <c r="AA24" s="222"/>
      <c r="AB24" s="222"/>
      <c r="AC24" s="222"/>
      <c r="AD24" s="236">
        <f t="shared" si="4"/>
        <v>0</v>
      </c>
    </row>
    <row r="25" spans="1:30" ht="24" customHeight="1" x14ac:dyDescent="0.3">
      <c r="A25" s="1114" t="s">
        <v>94</v>
      </c>
      <c r="B25" s="40"/>
      <c r="C25" s="108"/>
      <c r="D25" s="70">
        <f>SUM(D26:D29)</f>
        <v>377000</v>
      </c>
      <c r="E25" s="70">
        <f t="shared" ref="E25:AD25" si="7">SUM(E26:E29)</f>
        <v>343416.08999999997</v>
      </c>
      <c r="F25" s="70">
        <f t="shared" si="7"/>
        <v>720416.09</v>
      </c>
      <c r="G25" s="70">
        <f t="shared" si="7"/>
        <v>0</v>
      </c>
      <c r="H25" s="70">
        <f t="shared" si="7"/>
        <v>0</v>
      </c>
      <c r="I25" s="70">
        <f t="shared" si="7"/>
        <v>0</v>
      </c>
      <c r="J25" s="70">
        <f t="shared" si="7"/>
        <v>15000</v>
      </c>
      <c r="K25" s="70">
        <f t="shared" si="7"/>
        <v>0</v>
      </c>
      <c r="L25" s="70">
        <f t="shared" si="7"/>
        <v>0</v>
      </c>
      <c r="M25" s="70">
        <f t="shared" si="7"/>
        <v>82000</v>
      </c>
      <c r="N25" s="70">
        <f t="shared" si="7"/>
        <v>81000</v>
      </c>
      <c r="O25" s="70">
        <f t="shared" si="7"/>
        <v>46000</v>
      </c>
      <c r="P25" s="70">
        <f t="shared" si="7"/>
        <v>6000</v>
      </c>
      <c r="Q25" s="70">
        <f t="shared" si="7"/>
        <v>6000</v>
      </c>
      <c r="R25" s="99">
        <f t="shared" si="7"/>
        <v>236000</v>
      </c>
      <c r="S25" s="70">
        <f t="shared" si="7"/>
        <v>6000</v>
      </c>
      <c r="T25" s="70">
        <f t="shared" si="7"/>
        <v>193566.09</v>
      </c>
      <c r="U25" s="70">
        <f t="shared" si="7"/>
        <v>106000</v>
      </c>
      <c r="V25" s="70">
        <f t="shared" si="7"/>
        <v>136850</v>
      </c>
      <c r="W25" s="70">
        <f t="shared" si="7"/>
        <v>6000</v>
      </c>
      <c r="X25" s="70">
        <f t="shared" si="7"/>
        <v>21000</v>
      </c>
      <c r="Y25" s="70">
        <f t="shared" si="7"/>
        <v>15000</v>
      </c>
      <c r="Z25" s="70">
        <f t="shared" si="7"/>
        <v>0</v>
      </c>
      <c r="AA25" s="70">
        <f t="shared" si="7"/>
        <v>0</v>
      </c>
      <c r="AB25" s="70">
        <f t="shared" si="7"/>
        <v>0</v>
      </c>
      <c r="AC25" s="70">
        <f t="shared" si="7"/>
        <v>0</v>
      </c>
      <c r="AD25" s="70">
        <f t="shared" si="7"/>
        <v>484416.08999999997</v>
      </c>
    </row>
    <row r="26" spans="1:30" s="62" customFormat="1" ht="114.75" customHeight="1" x14ac:dyDescent="0.3">
      <c r="A26" s="1116"/>
      <c r="B26" s="117" t="s">
        <v>2</v>
      </c>
      <c r="C26" s="243" t="s">
        <v>852</v>
      </c>
      <c r="D26" s="244">
        <f>+'PREVENCIÓN (Desglose)'!E51</f>
        <v>202000</v>
      </c>
      <c r="E26" s="244">
        <f>+'PREVENCIÓN (Desglose)'!F51</f>
        <v>0</v>
      </c>
      <c r="F26" s="236">
        <f t="shared" si="2"/>
        <v>202000</v>
      </c>
      <c r="G26" s="61">
        <f>+'PREVENCIÓN (Desglose)'!H51</f>
        <v>0</v>
      </c>
      <c r="H26" s="61">
        <f>+'PREVENCIÓN (Desglose)'!I51</f>
        <v>0</v>
      </c>
      <c r="I26" s="61">
        <f>+'PREVENCIÓN (Desglose)'!J51</f>
        <v>0</v>
      </c>
      <c r="J26" s="61">
        <f>+'PREVENCIÓN (Desglose)'!K51</f>
        <v>15000</v>
      </c>
      <c r="K26" s="61">
        <f>+'PREVENCIÓN (Desglose)'!L51</f>
        <v>0</v>
      </c>
      <c r="L26" s="61">
        <f>+'PREVENCIÓN (Desglose)'!M51</f>
        <v>0</v>
      </c>
      <c r="M26" s="61">
        <f>+'PREVENCIÓN (Desglose)'!N51</f>
        <v>32000</v>
      </c>
      <c r="N26" s="61">
        <f>+'PREVENCIÓN (Desglose)'!O51</f>
        <v>6000</v>
      </c>
      <c r="O26" s="61">
        <f>+'PREVENCIÓN (Desglose)'!P51</f>
        <v>46000</v>
      </c>
      <c r="P26" s="61">
        <f>+'PREVENCIÓN (Desglose)'!Q51</f>
        <v>6000</v>
      </c>
      <c r="Q26" s="61">
        <f>+'PREVENCIÓN (Desglose)'!R51</f>
        <v>6000</v>
      </c>
      <c r="R26" s="249">
        <f t="shared" si="3"/>
        <v>111000</v>
      </c>
      <c r="S26" s="61">
        <f>+'PREVENCIÓN (Desglose)'!T51</f>
        <v>6000</v>
      </c>
      <c r="T26" s="61">
        <f>+'PREVENCIÓN (Desglose)'!U51</f>
        <v>6000</v>
      </c>
      <c r="U26" s="61">
        <f>+'PREVENCIÓN (Desglose)'!V51</f>
        <v>31000</v>
      </c>
      <c r="V26" s="61">
        <f>+'PREVENCIÓN (Desglose)'!W51</f>
        <v>6000</v>
      </c>
      <c r="W26" s="61">
        <f>+'PREVENCIÓN (Desglose)'!X51</f>
        <v>6000</v>
      </c>
      <c r="X26" s="61">
        <f>+'PREVENCIÓN (Desglose)'!Y51</f>
        <v>21000</v>
      </c>
      <c r="Y26" s="61">
        <f>+'PREVENCIÓN (Desglose)'!Z51</f>
        <v>15000</v>
      </c>
      <c r="Z26" s="61">
        <f>+'PREVENCIÓN (Desglose)'!AA51</f>
        <v>0</v>
      </c>
      <c r="AA26" s="61">
        <f>+'PREVENCIÓN (Desglose)'!AB51</f>
        <v>0</v>
      </c>
      <c r="AB26" s="61">
        <f>+'PREVENCIÓN (Desglose)'!AC51</f>
        <v>0</v>
      </c>
      <c r="AC26" s="61">
        <f>+'PREVENCIÓN (Desglose)'!AD51</f>
        <v>0</v>
      </c>
      <c r="AD26" s="83">
        <f t="shared" si="4"/>
        <v>91000</v>
      </c>
    </row>
    <row r="27" spans="1:30" s="118" customFormat="1" ht="106.5" customHeight="1" x14ac:dyDescent="0.3">
      <c r="A27" s="1116"/>
      <c r="B27" s="117" t="s">
        <v>3</v>
      </c>
      <c r="C27" s="243" t="s">
        <v>188</v>
      </c>
      <c r="D27" s="202">
        <f>+'PREVENCIÓN (Desglose)'!E56</f>
        <v>175000</v>
      </c>
      <c r="E27" s="202">
        <f>+'PREVENCIÓN (Desglose)'!F56</f>
        <v>0</v>
      </c>
      <c r="F27" s="74">
        <f t="shared" si="2"/>
        <v>175000</v>
      </c>
      <c r="G27" s="164">
        <f>+'PREVENCIÓN (Desglose)'!H56</f>
        <v>0</v>
      </c>
      <c r="H27" s="164">
        <f>+'PREVENCIÓN (Desglose)'!I56</f>
        <v>0</v>
      </c>
      <c r="I27" s="164">
        <f>+'PREVENCIÓN (Desglose)'!J56</f>
        <v>0</v>
      </c>
      <c r="J27" s="164">
        <f>+'PREVENCIÓN (Desglose)'!K56</f>
        <v>0</v>
      </c>
      <c r="K27" s="164">
        <f>+'PREVENCIÓN (Desglose)'!L56</f>
        <v>0</v>
      </c>
      <c r="L27" s="164">
        <f>+'PREVENCIÓN (Desglose)'!M56</f>
        <v>0</v>
      </c>
      <c r="M27" s="164">
        <f>+'PREVENCIÓN (Desglose)'!N56</f>
        <v>50000</v>
      </c>
      <c r="N27" s="164">
        <f>+'PREVENCIÓN (Desglose)'!O56</f>
        <v>50000</v>
      </c>
      <c r="O27" s="164">
        <f>+'PREVENCIÓN (Desglose)'!P56</f>
        <v>0</v>
      </c>
      <c r="P27" s="164">
        <f>+'PREVENCIÓN (Desglose)'!Q56</f>
        <v>0</v>
      </c>
      <c r="Q27" s="164">
        <f>+'PREVENCIÓN (Desglose)'!R56</f>
        <v>0</v>
      </c>
      <c r="R27" s="251">
        <f t="shared" si="3"/>
        <v>100000</v>
      </c>
      <c r="S27" s="164">
        <f>+'PREVENCIÓN (Desglose)'!T56</f>
        <v>0</v>
      </c>
      <c r="T27" s="164">
        <f>+'PREVENCIÓN (Desglose)'!U56</f>
        <v>0</v>
      </c>
      <c r="U27" s="164">
        <f>+'PREVENCIÓN (Desglose)'!V56</f>
        <v>75000</v>
      </c>
      <c r="V27" s="164">
        <f>+'PREVENCIÓN (Desglose)'!W56</f>
        <v>0</v>
      </c>
      <c r="W27" s="164">
        <f>+'PREVENCIÓN (Desglose)'!X56</f>
        <v>0</v>
      </c>
      <c r="X27" s="164">
        <f>+'PREVENCIÓN (Desglose)'!Y56</f>
        <v>0</v>
      </c>
      <c r="Y27" s="164">
        <f>+'PREVENCIÓN (Desglose)'!Z56</f>
        <v>0</v>
      </c>
      <c r="Z27" s="164">
        <f>+'PREVENCIÓN (Desglose)'!AA56</f>
        <v>0</v>
      </c>
      <c r="AA27" s="164">
        <f>+'PREVENCIÓN (Desglose)'!AB56</f>
        <v>0</v>
      </c>
      <c r="AB27" s="164">
        <f>+'PREVENCIÓN (Desglose)'!AC56</f>
        <v>0</v>
      </c>
      <c r="AC27" s="164">
        <f>+'PREVENCIÓN (Desglose)'!AD56</f>
        <v>0</v>
      </c>
      <c r="AD27" s="82">
        <f t="shared" si="4"/>
        <v>75000</v>
      </c>
    </row>
    <row r="28" spans="1:30" s="118" customFormat="1" ht="72.75" customHeight="1" x14ac:dyDescent="0.3">
      <c r="A28" s="1116"/>
      <c r="B28" s="117" t="s">
        <v>4</v>
      </c>
      <c r="C28" s="243" t="s">
        <v>181</v>
      </c>
      <c r="D28" s="202">
        <f>+'PREVENCIÓN (Desglose)'!E62</f>
        <v>0</v>
      </c>
      <c r="E28" s="202">
        <f>+'PREVENCIÓN (Desglose)'!F62</f>
        <v>155566.09</v>
      </c>
      <c r="F28" s="74">
        <f t="shared" si="2"/>
        <v>155566.09</v>
      </c>
      <c r="G28" s="164">
        <f>+'PREVENCIÓN (Desglose)'!H62</f>
        <v>0</v>
      </c>
      <c r="H28" s="164">
        <f>+'PREVENCIÓN (Desglose)'!I62</f>
        <v>0</v>
      </c>
      <c r="I28" s="164">
        <f>+'PREVENCIÓN (Desglose)'!J62</f>
        <v>0</v>
      </c>
      <c r="J28" s="164">
        <f>+'PREVENCIÓN (Desglose)'!K62</f>
        <v>0</v>
      </c>
      <c r="K28" s="164">
        <f>+'PREVENCIÓN (Desglose)'!L62</f>
        <v>0</v>
      </c>
      <c r="L28" s="164">
        <f>+'PREVENCIÓN (Desglose)'!M62</f>
        <v>0</v>
      </c>
      <c r="M28" s="164">
        <f>+'PREVENCIÓN (Desglose)'!N62</f>
        <v>0</v>
      </c>
      <c r="N28" s="164">
        <f>+'PREVENCIÓN (Desglose)'!O62</f>
        <v>25000</v>
      </c>
      <c r="O28" s="164">
        <f>+'PREVENCIÓN (Desglose)'!P62</f>
        <v>0</v>
      </c>
      <c r="P28" s="164">
        <f>+'PREVENCIÓN (Desglose)'!Q62</f>
        <v>0</v>
      </c>
      <c r="Q28" s="164">
        <f>+'PREVENCIÓN (Desglose)'!R62</f>
        <v>0</v>
      </c>
      <c r="R28" s="616">
        <f t="shared" si="3"/>
        <v>25000</v>
      </c>
      <c r="S28" s="164">
        <f>+'PREVENCIÓN (Desglose)'!T62</f>
        <v>0</v>
      </c>
      <c r="T28" s="164">
        <f>+'PREVENCIÓN (Desglose)'!U62</f>
        <v>115566.09</v>
      </c>
      <c r="U28" s="164">
        <f>+'PREVENCIÓN (Desglose)'!V62</f>
        <v>0</v>
      </c>
      <c r="V28" s="164">
        <f>+'PREVENCIÓN (Desglose)'!W62</f>
        <v>15000</v>
      </c>
      <c r="W28" s="164">
        <f>+'PREVENCIÓN (Desglose)'!X62</f>
        <v>0</v>
      </c>
      <c r="X28" s="164">
        <f>+'PREVENCIÓN (Desglose)'!Y62</f>
        <v>0</v>
      </c>
      <c r="Y28" s="164">
        <f>+'PREVENCIÓN (Desglose)'!Z62</f>
        <v>0</v>
      </c>
      <c r="Z28" s="164">
        <f>+'PREVENCIÓN (Desglose)'!AA62</f>
        <v>0</v>
      </c>
      <c r="AA28" s="164">
        <f>+'PREVENCIÓN (Desglose)'!AB62</f>
        <v>0</v>
      </c>
      <c r="AB28" s="164">
        <f>+'PREVENCIÓN (Desglose)'!AC62</f>
        <v>0</v>
      </c>
      <c r="AC28" s="164">
        <f>+'PREVENCIÓN (Desglose)'!AD62</f>
        <v>0</v>
      </c>
      <c r="AD28" s="620">
        <f t="shared" si="4"/>
        <v>130566.09</v>
      </c>
    </row>
    <row r="29" spans="1:30" s="118" customFormat="1" ht="69.75" customHeight="1" x14ac:dyDescent="0.3">
      <c r="A29" s="1115"/>
      <c r="B29" s="117" t="s">
        <v>8</v>
      </c>
      <c r="C29" s="243" t="s">
        <v>535</v>
      </c>
      <c r="D29" s="202">
        <f>+'PREVENCIÓN (Desglose)'!E64</f>
        <v>0</v>
      </c>
      <c r="E29" s="202">
        <f>+'PREVENCIÓN (Desglose)'!F64</f>
        <v>187850</v>
      </c>
      <c r="F29" s="74">
        <f t="shared" si="2"/>
        <v>187850</v>
      </c>
      <c r="G29" s="81">
        <f>+'PREVENCIÓN (Desglose)'!H64</f>
        <v>0</v>
      </c>
      <c r="H29" s="81">
        <f>+'PREVENCIÓN (Desglose)'!I64</f>
        <v>0</v>
      </c>
      <c r="I29" s="81">
        <f>+'PREVENCIÓN (Desglose)'!J64</f>
        <v>0</v>
      </c>
      <c r="J29" s="81">
        <f>+'PREVENCIÓN (Desglose)'!K64</f>
        <v>0</v>
      </c>
      <c r="K29" s="81">
        <f>+'PREVENCIÓN (Desglose)'!L64</f>
        <v>0</v>
      </c>
      <c r="L29" s="81">
        <f>+'PREVENCIÓN (Desglose)'!M64</f>
        <v>0</v>
      </c>
      <c r="M29" s="81">
        <f>+'PREVENCIÓN (Desglose)'!N64</f>
        <v>0</v>
      </c>
      <c r="N29" s="81">
        <f>+'PREVENCIÓN (Desglose)'!O64</f>
        <v>0</v>
      </c>
      <c r="O29" s="81">
        <f>+'PREVENCIÓN (Desglose)'!P64</f>
        <v>0</v>
      </c>
      <c r="P29" s="81">
        <f>+'PREVENCIÓN (Desglose)'!Q64</f>
        <v>0</v>
      </c>
      <c r="Q29" s="81">
        <f>+'PREVENCIÓN (Desglose)'!R64</f>
        <v>0</v>
      </c>
      <c r="R29" s="615">
        <f t="shared" si="3"/>
        <v>0</v>
      </c>
      <c r="S29" s="81">
        <f>+'PREVENCIÓN (Desglose)'!T64</f>
        <v>0</v>
      </c>
      <c r="T29" s="81">
        <f>+'PREVENCIÓN (Desglose)'!U64</f>
        <v>72000</v>
      </c>
      <c r="U29" s="81">
        <f>+'PREVENCIÓN (Desglose)'!V64</f>
        <v>0</v>
      </c>
      <c r="V29" s="81">
        <f>+'PREVENCIÓN (Desglose)'!W64</f>
        <v>115850</v>
      </c>
      <c r="W29" s="81">
        <f>+'PREVENCIÓN (Desglose)'!X64</f>
        <v>0</v>
      </c>
      <c r="X29" s="81">
        <f>+'PREVENCIÓN (Desglose)'!Y64</f>
        <v>0</v>
      </c>
      <c r="Y29" s="81">
        <f>+'PREVENCIÓN (Desglose)'!Z64</f>
        <v>0</v>
      </c>
      <c r="Z29" s="81">
        <f>+'PREVENCIÓN (Desglose)'!AA64</f>
        <v>0</v>
      </c>
      <c r="AA29" s="81">
        <f>+'PREVENCIÓN (Desglose)'!AB64</f>
        <v>0</v>
      </c>
      <c r="AB29" s="81">
        <f>+'PREVENCIÓN (Desglose)'!AC64</f>
        <v>0</v>
      </c>
      <c r="AC29" s="81">
        <f>+'PREVENCIÓN (Desglose)'!AD64</f>
        <v>0</v>
      </c>
      <c r="AD29" s="619">
        <f t="shared" si="4"/>
        <v>187850</v>
      </c>
    </row>
    <row r="30" spans="1:30" ht="24" customHeight="1" x14ac:dyDescent="0.3">
      <c r="A30" s="1114" t="s">
        <v>95</v>
      </c>
      <c r="B30" s="40"/>
      <c r="C30" s="108"/>
      <c r="D30" s="70">
        <f>SUM(D31:D32)</f>
        <v>626000</v>
      </c>
      <c r="E30" s="70">
        <f t="shared" ref="E30:AD30" si="8">SUM(E31:E32)</f>
        <v>799704.21</v>
      </c>
      <c r="F30" s="70">
        <f t="shared" si="8"/>
        <v>1425704.21</v>
      </c>
      <c r="G30" s="70">
        <f t="shared" si="8"/>
        <v>0</v>
      </c>
      <c r="H30" s="70">
        <f t="shared" si="8"/>
        <v>0</v>
      </c>
      <c r="I30" s="70">
        <f t="shared" si="8"/>
        <v>0</v>
      </c>
      <c r="J30" s="70">
        <f t="shared" si="8"/>
        <v>15000</v>
      </c>
      <c r="K30" s="70">
        <f t="shared" si="8"/>
        <v>60000</v>
      </c>
      <c r="L30" s="70">
        <f t="shared" si="8"/>
        <v>50000</v>
      </c>
      <c r="M30" s="70">
        <f t="shared" si="8"/>
        <v>41000</v>
      </c>
      <c r="N30" s="70">
        <f t="shared" si="8"/>
        <v>11000</v>
      </c>
      <c r="O30" s="70">
        <f t="shared" si="8"/>
        <v>11000</v>
      </c>
      <c r="P30" s="70">
        <f t="shared" si="8"/>
        <v>265700</v>
      </c>
      <c r="Q30" s="70">
        <f t="shared" si="8"/>
        <v>11000</v>
      </c>
      <c r="R30" s="99">
        <f t="shared" si="8"/>
        <v>464700</v>
      </c>
      <c r="S30" s="70">
        <f t="shared" si="8"/>
        <v>11000</v>
      </c>
      <c r="T30" s="70">
        <f t="shared" si="8"/>
        <v>450654.20999999996</v>
      </c>
      <c r="U30" s="70">
        <f t="shared" si="8"/>
        <v>281350</v>
      </c>
      <c r="V30" s="70">
        <f t="shared" si="8"/>
        <v>11000</v>
      </c>
      <c r="W30" s="70">
        <f t="shared" si="8"/>
        <v>41000</v>
      </c>
      <c r="X30" s="70">
        <f t="shared" si="8"/>
        <v>11000</v>
      </c>
      <c r="Y30" s="70">
        <f t="shared" si="8"/>
        <v>17000</v>
      </c>
      <c r="Z30" s="70">
        <f t="shared" si="8"/>
        <v>37000</v>
      </c>
      <c r="AA30" s="70">
        <f t="shared" si="8"/>
        <v>17000</v>
      </c>
      <c r="AB30" s="70">
        <f t="shared" si="8"/>
        <v>17000</v>
      </c>
      <c r="AC30" s="70">
        <f t="shared" si="8"/>
        <v>67000</v>
      </c>
      <c r="AD30" s="70">
        <f t="shared" si="8"/>
        <v>961004.21</v>
      </c>
    </row>
    <row r="31" spans="1:30" s="62" customFormat="1" ht="146.25" customHeight="1" x14ac:dyDescent="0.3">
      <c r="A31" s="1116"/>
      <c r="B31" s="224" t="s">
        <v>2</v>
      </c>
      <c r="C31" s="232" t="s">
        <v>195</v>
      </c>
      <c r="D31" s="244">
        <f>+'PREVENCIÓN (Desglose)'!E67</f>
        <v>626000</v>
      </c>
      <c r="E31" s="244">
        <f>+'PREVENCIÓN (Desglose)'!F67</f>
        <v>0</v>
      </c>
      <c r="F31" s="236">
        <f t="shared" si="2"/>
        <v>626000</v>
      </c>
      <c r="G31" s="61">
        <f>+'PREVENCIÓN (Desglose)'!H67</f>
        <v>0</v>
      </c>
      <c r="H31" s="61">
        <f>+'PREVENCIÓN (Desglose)'!I67</f>
        <v>0</v>
      </c>
      <c r="I31" s="61">
        <f>+'PREVENCIÓN (Desglose)'!J67</f>
        <v>0</v>
      </c>
      <c r="J31" s="61">
        <f>+'PREVENCIÓN (Desglose)'!K67</f>
        <v>15000</v>
      </c>
      <c r="K31" s="61">
        <f>+'PREVENCIÓN (Desglose)'!L67</f>
        <v>15000</v>
      </c>
      <c r="L31" s="61">
        <f>+'PREVENCIÓN (Desglose)'!M67</f>
        <v>50000</v>
      </c>
      <c r="M31" s="61">
        <f>+'PREVENCIÓN (Desglose)'!N67</f>
        <v>41000</v>
      </c>
      <c r="N31" s="61">
        <f>+'PREVENCIÓN (Desglose)'!O67</f>
        <v>11000</v>
      </c>
      <c r="O31" s="61">
        <f>+'PREVENCIÓN (Desglose)'!P67</f>
        <v>11000</v>
      </c>
      <c r="P31" s="61">
        <f>+'PREVENCIÓN (Desglose)'!Q67</f>
        <v>76000</v>
      </c>
      <c r="Q31" s="61">
        <f>+'PREVENCIÓN (Desglose)'!R67</f>
        <v>11000</v>
      </c>
      <c r="R31" s="249">
        <f t="shared" si="3"/>
        <v>230000</v>
      </c>
      <c r="S31" s="61">
        <f>+'PREVENCIÓN (Desglose)'!T67</f>
        <v>11000</v>
      </c>
      <c r="T31" s="61">
        <f>+'PREVENCIÓN (Desglose)'!U67</f>
        <v>76000</v>
      </c>
      <c r="U31" s="61">
        <f>+'PREVENCIÓN (Desglose)'!V67</f>
        <v>91000</v>
      </c>
      <c r="V31" s="61">
        <f>+'PREVENCIÓN (Desglose)'!W67</f>
        <v>11000</v>
      </c>
      <c r="W31" s="61">
        <f>+'PREVENCIÓN (Desglose)'!X67</f>
        <v>41000</v>
      </c>
      <c r="X31" s="61">
        <f>+'PREVENCIÓN (Desglose)'!Y67</f>
        <v>11000</v>
      </c>
      <c r="Y31" s="61">
        <f>+'PREVENCIÓN (Desglose)'!Z67</f>
        <v>17000</v>
      </c>
      <c r="Z31" s="61">
        <f>+'PREVENCIÓN (Desglose)'!AA67</f>
        <v>37000</v>
      </c>
      <c r="AA31" s="61">
        <f>+'PREVENCIÓN (Desglose)'!AB67</f>
        <v>17000</v>
      </c>
      <c r="AB31" s="61">
        <f>+'PREVENCIÓN (Desglose)'!AC67</f>
        <v>17000</v>
      </c>
      <c r="AC31" s="61">
        <f>+'PREVENCIÓN (Desglose)'!AD67</f>
        <v>67000</v>
      </c>
      <c r="AD31" s="83">
        <f t="shared" si="4"/>
        <v>396000</v>
      </c>
    </row>
    <row r="32" spans="1:30" s="62" customFormat="1" ht="130.5" customHeight="1" x14ac:dyDescent="0.3">
      <c r="A32" s="1115"/>
      <c r="B32" s="246" t="s">
        <v>3</v>
      </c>
      <c r="C32" s="245" t="s">
        <v>538</v>
      </c>
      <c r="D32" s="202">
        <f>+'PREVENCIÓN (Desglose)'!E74</f>
        <v>0</v>
      </c>
      <c r="E32" s="202">
        <f>+'PREVENCIÓN (Desglose)'!F74</f>
        <v>799704.21</v>
      </c>
      <c r="F32" s="74">
        <f t="shared" si="2"/>
        <v>799704.21</v>
      </c>
      <c r="G32" s="164">
        <f>+'PREVENCIÓN (Desglose)'!H74</f>
        <v>0</v>
      </c>
      <c r="H32" s="164">
        <f>+'PREVENCIÓN (Desglose)'!I74</f>
        <v>0</v>
      </c>
      <c r="I32" s="164">
        <f>+'PREVENCIÓN (Desglose)'!J74</f>
        <v>0</v>
      </c>
      <c r="J32" s="164">
        <f>+'PREVENCIÓN (Desglose)'!K74</f>
        <v>0</v>
      </c>
      <c r="K32" s="164">
        <f>+'PREVENCIÓN (Desglose)'!L74</f>
        <v>45000</v>
      </c>
      <c r="L32" s="164">
        <f>+'PREVENCIÓN (Desglose)'!M74</f>
        <v>0</v>
      </c>
      <c r="M32" s="164">
        <f>+'PREVENCIÓN (Desglose)'!N74</f>
        <v>0</v>
      </c>
      <c r="N32" s="164">
        <f>+'PREVENCIÓN (Desglose)'!O74</f>
        <v>0</v>
      </c>
      <c r="O32" s="164">
        <f>+'PREVENCIÓN (Desglose)'!P74</f>
        <v>0</v>
      </c>
      <c r="P32" s="164">
        <f>+'PREVENCIÓN (Desglose)'!Q74</f>
        <v>189700</v>
      </c>
      <c r="Q32" s="164">
        <f>+'PREVENCIÓN (Desglose)'!R74</f>
        <v>0</v>
      </c>
      <c r="R32" s="616">
        <f t="shared" si="3"/>
        <v>234700</v>
      </c>
      <c r="S32" s="164">
        <f>+'PREVENCIÓN (Desglose)'!T74</f>
        <v>0</v>
      </c>
      <c r="T32" s="164">
        <f>+'PREVENCIÓN (Desglose)'!U74</f>
        <v>374654.20999999996</v>
      </c>
      <c r="U32" s="164">
        <f>+'PREVENCIÓN (Desglose)'!V74</f>
        <v>190350</v>
      </c>
      <c r="V32" s="164">
        <f>+'PREVENCIÓN (Desglose)'!W74</f>
        <v>0</v>
      </c>
      <c r="W32" s="164">
        <f>+'PREVENCIÓN (Desglose)'!X74</f>
        <v>0</v>
      </c>
      <c r="X32" s="164">
        <f>+'PREVENCIÓN (Desglose)'!Y74</f>
        <v>0</v>
      </c>
      <c r="Y32" s="164">
        <f>+'PREVENCIÓN (Desglose)'!Z74</f>
        <v>0</v>
      </c>
      <c r="Z32" s="164">
        <f>+'PREVENCIÓN (Desglose)'!AA74</f>
        <v>0</v>
      </c>
      <c r="AA32" s="164">
        <f>+'PREVENCIÓN (Desglose)'!AB74</f>
        <v>0</v>
      </c>
      <c r="AB32" s="164">
        <f>+'PREVENCIÓN (Desglose)'!AC74</f>
        <v>0</v>
      </c>
      <c r="AC32" s="164">
        <f>+'PREVENCIÓN (Desglose)'!AD74</f>
        <v>0</v>
      </c>
      <c r="AD32" s="620">
        <f t="shared" si="4"/>
        <v>565004.21</v>
      </c>
    </row>
    <row r="33" spans="1:30" ht="22.5" customHeight="1" x14ac:dyDescent="0.3">
      <c r="A33" s="1080" t="s">
        <v>221</v>
      </c>
      <c r="B33" s="40"/>
      <c r="C33" s="108"/>
      <c r="D33" s="70">
        <f>SUM(D34:D35)</f>
        <v>106000</v>
      </c>
      <c r="E33" s="70">
        <f>SUM(E34:E35)</f>
        <v>75000</v>
      </c>
      <c r="F33" s="70">
        <f t="shared" ref="F33:AD33" si="9">SUM(F34:F35)</f>
        <v>181000</v>
      </c>
      <c r="G33" s="70">
        <f t="shared" si="9"/>
        <v>0</v>
      </c>
      <c r="H33" s="70">
        <f t="shared" si="9"/>
        <v>0</v>
      </c>
      <c r="I33" s="70">
        <f t="shared" si="9"/>
        <v>0</v>
      </c>
      <c r="J33" s="70">
        <f t="shared" si="9"/>
        <v>0</v>
      </c>
      <c r="K33" s="70">
        <f t="shared" si="9"/>
        <v>0</v>
      </c>
      <c r="L33" s="70">
        <f t="shared" si="9"/>
        <v>0</v>
      </c>
      <c r="M33" s="70">
        <f t="shared" si="9"/>
        <v>40000</v>
      </c>
      <c r="N33" s="70">
        <f t="shared" si="9"/>
        <v>0</v>
      </c>
      <c r="O33" s="70">
        <f t="shared" si="9"/>
        <v>66000</v>
      </c>
      <c r="P33" s="70">
        <f t="shared" si="9"/>
        <v>0</v>
      </c>
      <c r="Q33" s="70">
        <f t="shared" si="9"/>
        <v>0</v>
      </c>
      <c r="R33" s="70">
        <f t="shared" si="9"/>
        <v>106000</v>
      </c>
      <c r="S33" s="70">
        <f t="shared" si="9"/>
        <v>0</v>
      </c>
      <c r="T33" s="70">
        <f t="shared" si="9"/>
        <v>75000</v>
      </c>
      <c r="U33" s="70">
        <f t="shared" si="9"/>
        <v>0</v>
      </c>
      <c r="V33" s="70">
        <f t="shared" si="9"/>
        <v>0</v>
      </c>
      <c r="W33" s="70">
        <f t="shared" si="9"/>
        <v>0</v>
      </c>
      <c r="X33" s="70">
        <f t="shared" si="9"/>
        <v>0</v>
      </c>
      <c r="Y33" s="70">
        <f t="shared" si="9"/>
        <v>0</v>
      </c>
      <c r="Z33" s="70">
        <f t="shared" si="9"/>
        <v>0</v>
      </c>
      <c r="AA33" s="70">
        <f t="shared" si="9"/>
        <v>0</v>
      </c>
      <c r="AB33" s="70">
        <f t="shared" si="9"/>
        <v>0</v>
      </c>
      <c r="AC33" s="70">
        <f t="shared" si="9"/>
        <v>0</v>
      </c>
      <c r="AD33" s="70">
        <f t="shared" si="9"/>
        <v>75000</v>
      </c>
    </row>
    <row r="34" spans="1:30" s="118" customFormat="1" ht="113.25" customHeight="1" x14ac:dyDescent="0.3">
      <c r="A34" s="1081"/>
      <c r="B34" s="117" t="s">
        <v>2</v>
      </c>
      <c r="C34" s="243" t="s">
        <v>389</v>
      </c>
      <c r="D34" s="202">
        <f>+R34+AD34</f>
        <v>106000</v>
      </c>
      <c r="E34" s="202">
        <v>0</v>
      </c>
      <c r="F34" s="74">
        <f>+D34+E34</f>
        <v>106000</v>
      </c>
      <c r="G34" s="73">
        <f>+'PREVENCIÓN (Desglose)'!H79</f>
        <v>0</v>
      </c>
      <c r="H34" s="73">
        <f>+'PREVENCIÓN (Desglose)'!I79</f>
        <v>0</v>
      </c>
      <c r="I34" s="73">
        <f>+'PREVENCIÓN (Desglose)'!J79</f>
        <v>0</v>
      </c>
      <c r="J34" s="73">
        <f>+'PREVENCIÓN (Desglose)'!K79</f>
        <v>0</v>
      </c>
      <c r="K34" s="73">
        <f>+'PREVENCIÓN (Desglose)'!L79</f>
        <v>0</v>
      </c>
      <c r="L34" s="73">
        <f>+'PREVENCIÓN (Desglose)'!M79</f>
        <v>0</v>
      </c>
      <c r="M34" s="73">
        <f>+'PREVENCIÓN (Desglose)'!N79</f>
        <v>40000</v>
      </c>
      <c r="N34" s="73">
        <f>+'PREVENCIÓN (Desglose)'!O79</f>
        <v>0</v>
      </c>
      <c r="O34" s="73">
        <f>+'PREVENCIÓN (Desglose)'!P79</f>
        <v>66000</v>
      </c>
      <c r="P34" s="73">
        <f>+'PREVENCIÓN (Desglose)'!Q79</f>
        <v>0</v>
      </c>
      <c r="Q34" s="73">
        <f>+'PREVENCIÓN (Desglose)'!R79</f>
        <v>0</v>
      </c>
      <c r="R34" s="251">
        <f t="shared" si="3"/>
        <v>106000</v>
      </c>
      <c r="S34" s="73">
        <f>+'PREVENCIÓN (Desglose)'!T79</f>
        <v>0</v>
      </c>
      <c r="T34" s="73">
        <f>+'PREVENCIÓN (Desglose)'!U79</f>
        <v>0</v>
      </c>
      <c r="U34" s="73">
        <f>+'PREVENCIÓN (Desglose)'!V79</f>
        <v>0</v>
      </c>
      <c r="V34" s="73">
        <f>+'PREVENCIÓN (Desglose)'!W79</f>
        <v>0</v>
      </c>
      <c r="W34" s="73">
        <f>+'PREVENCIÓN (Desglose)'!X79</f>
        <v>0</v>
      </c>
      <c r="X34" s="73">
        <f>+'PREVENCIÓN (Desglose)'!Y79</f>
        <v>0</v>
      </c>
      <c r="Y34" s="73">
        <f>+'PREVENCIÓN (Desglose)'!Z79</f>
        <v>0</v>
      </c>
      <c r="Z34" s="73">
        <f>+'PREVENCIÓN (Desglose)'!AA79</f>
        <v>0</v>
      </c>
      <c r="AA34" s="73">
        <f>+'PREVENCIÓN (Desglose)'!AB79</f>
        <v>0</v>
      </c>
      <c r="AB34" s="73">
        <f>+'PREVENCIÓN (Desglose)'!AC79</f>
        <v>0</v>
      </c>
      <c r="AC34" s="73">
        <f>+'PREVENCIÓN (Desglose)'!AD79</f>
        <v>0</v>
      </c>
      <c r="AD34" s="82">
        <f t="shared" si="4"/>
        <v>0</v>
      </c>
    </row>
    <row r="35" spans="1:30" s="118" customFormat="1" ht="113.25" customHeight="1" x14ac:dyDescent="0.3">
      <c r="A35" s="1082"/>
      <c r="B35" s="117" t="s">
        <v>3</v>
      </c>
      <c r="C35" s="243" t="s">
        <v>390</v>
      </c>
      <c r="D35" s="202">
        <v>0</v>
      </c>
      <c r="E35" s="202">
        <f>+R35+AD35</f>
        <v>75000</v>
      </c>
      <c r="F35" s="74">
        <f>+D35+E35</f>
        <v>75000</v>
      </c>
      <c r="G35" s="73">
        <f>+'PREVENCIÓN (Desglose)'!H82</f>
        <v>0</v>
      </c>
      <c r="H35" s="73">
        <f>+'PREVENCIÓN (Desglose)'!I82</f>
        <v>0</v>
      </c>
      <c r="I35" s="73">
        <f>+'PREVENCIÓN (Desglose)'!J82</f>
        <v>0</v>
      </c>
      <c r="J35" s="73">
        <f>+'PREVENCIÓN (Desglose)'!K82</f>
        <v>0</v>
      </c>
      <c r="K35" s="73">
        <f>+'PREVENCIÓN (Desglose)'!L82</f>
        <v>0</v>
      </c>
      <c r="L35" s="73">
        <f>+'PREVENCIÓN (Desglose)'!M82</f>
        <v>0</v>
      </c>
      <c r="M35" s="73">
        <f>+'PREVENCIÓN (Desglose)'!N82</f>
        <v>0</v>
      </c>
      <c r="N35" s="73">
        <f>+'PREVENCIÓN (Desglose)'!O82</f>
        <v>0</v>
      </c>
      <c r="O35" s="73">
        <f>+'PREVENCIÓN (Desglose)'!P82</f>
        <v>0</v>
      </c>
      <c r="P35" s="73">
        <f>+'PREVENCIÓN (Desglose)'!Q82</f>
        <v>0</v>
      </c>
      <c r="Q35" s="73">
        <f>+'PREVENCIÓN (Desglose)'!R82</f>
        <v>0</v>
      </c>
      <c r="R35" s="616">
        <f t="shared" si="3"/>
        <v>0</v>
      </c>
      <c r="S35" s="73">
        <f>+'PREVENCIÓN (Desglose)'!T82</f>
        <v>0</v>
      </c>
      <c r="T35" s="73">
        <f>+'PREVENCIÓN (Desglose)'!U82</f>
        <v>75000</v>
      </c>
      <c r="U35" s="73">
        <f>+'PREVENCIÓN (Desglose)'!V82</f>
        <v>0</v>
      </c>
      <c r="V35" s="73">
        <f>+'PREVENCIÓN (Desglose)'!W82</f>
        <v>0</v>
      </c>
      <c r="W35" s="73">
        <f>+'PREVENCIÓN (Desglose)'!X82</f>
        <v>0</v>
      </c>
      <c r="X35" s="73">
        <f>+'PREVENCIÓN (Desglose)'!Y82</f>
        <v>0</v>
      </c>
      <c r="Y35" s="73">
        <f>+'PREVENCIÓN (Desglose)'!Z82</f>
        <v>0</v>
      </c>
      <c r="Z35" s="73">
        <f>+'PREVENCIÓN (Desglose)'!AA82</f>
        <v>0</v>
      </c>
      <c r="AA35" s="73">
        <f>+'PREVENCIÓN (Desglose)'!AB82</f>
        <v>0</v>
      </c>
      <c r="AB35" s="73">
        <f>+'PREVENCIÓN (Desglose)'!AC82</f>
        <v>0</v>
      </c>
      <c r="AC35" s="73">
        <f>+'PREVENCIÓN (Desglose)'!AD82</f>
        <v>0</v>
      </c>
      <c r="AD35" s="620">
        <f t="shared" si="4"/>
        <v>75000</v>
      </c>
    </row>
    <row r="36" spans="1:30" s="67" customFormat="1" ht="42.75" customHeight="1" x14ac:dyDescent="0.3">
      <c r="A36" s="238" t="s">
        <v>212</v>
      </c>
      <c r="B36" s="239"/>
      <c r="C36" s="240"/>
      <c r="D36" s="240"/>
      <c r="E36" s="240"/>
      <c r="F36" s="725"/>
      <c r="G36" s="222"/>
      <c r="H36" s="222"/>
      <c r="I36" s="222"/>
      <c r="J36" s="222"/>
      <c r="K36" s="222"/>
      <c r="L36" s="222"/>
      <c r="M36" s="222"/>
      <c r="N36" s="222"/>
      <c r="O36" s="222"/>
      <c r="P36" s="222"/>
      <c r="Q36" s="222"/>
      <c r="R36" s="248">
        <f t="shared" si="3"/>
        <v>0</v>
      </c>
      <c r="S36" s="222"/>
      <c r="T36" s="222"/>
      <c r="U36" s="222"/>
      <c r="V36" s="222"/>
      <c r="W36" s="222"/>
      <c r="X36" s="222"/>
      <c r="Y36" s="222"/>
      <c r="Z36" s="222"/>
      <c r="AA36" s="222"/>
      <c r="AB36" s="222"/>
      <c r="AC36" s="222"/>
      <c r="AD36" s="236">
        <f t="shared" si="4"/>
        <v>0</v>
      </c>
    </row>
    <row r="37" spans="1:30" ht="22.5" customHeight="1" x14ac:dyDescent="0.3">
      <c r="A37" s="1114" t="s">
        <v>112</v>
      </c>
      <c r="B37" s="40"/>
      <c r="C37" s="108"/>
      <c r="D37" s="70">
        <f>SUM(D38:D39)</f>
        <v>363330</v>
      </c>
      <c r="E37" s="70">
        <f>SUM(E38:E39)</f>
        <v>342700</v>
      </c>
      <c r="F37" s="70">
        <f>SUM(F38:F39)</f>
        <v>706030</v>
      </c>
      <c r="G37" s="70">
        <f>SUM(G38:G39)</f>
        <v>0</v>
      </c>
      <c r="H37" s="70">
        <f t="shared" ref="H37:AD37" si="10">SUM(H38:H39)</f>
        <v>3330</v>
      </c>
      <c r="I37" s="70">
        <f t="shared" si="10"/>
        <v>0</v>
      </c>
      <c r="J37" s="70">
        <f t="shared" si="10"/>
        <v>1500</v>
      </c>
      <c r="K37" s="70">
        <f t="shared" si="10"/>
        <v>0</v>
      </c>
      <c r="L37" s="70">
        <f t="shared" si="10"/>
        <v>0</v>
      </c>
      <c r="M37" s="70">
        <f t="shared" si="10"/>
        <v>9500</v>
      </c>
      <c r="N37" s="70">
        <f t="shared" si="10"/>
        <v>5000</v>
      </c>
      <c r="O37" s="70">
        <f t="shared" si="10"/>
        <v>2000</v>
      </c>
      <c r="P37" s="70">
        <f t="shared" si="10"/>
        <v>11000</v>
      </c>
      <c r="Q37" s="70">
        <f t="shared" si="10"/>
        <v>0</v>
      </c>
      <c r="R37" s="70">
        <f t="shared" si="10"/>
        <v>32330</v>
      </c>
      <c r="S37" s="70">
        <f t="shared" si="10"/>
        <v>28000</v>
      </c>
      <c r="T37" s="70">
        <f t="shared" si="10"/>
        <v>28000</v>
      </c>
      <c r="U37" s="70">
        <f t="shared" si="10"/>
        <v>39000</v>
      </c>
      <c r="V37" s="70">
        <f t="shared" si="10"/>
        <v>370700</v>
      </c>
      <c r="W37" s="70">
        <f t="shared" si="10"/>
        <v>34000</v>
      </c>
      <c r="X37" s="70">
        <f t="shared" si="10"/>
        <v>28000</v>
      </c>
      <c r="Y37" s="70">
        <f t="shared" si="10"/>
        <v>28000</v>
      </c>
      <c r="Z37" s="70">
        <f t="shared" si="10"/>
        <v>34000</v>
      </c>
      <c r="AA37" s="70">
        <f t="shared" si="10"/>
        <v>28000</v>
      </c>
      <c r="AB37" s="70">
        <f t="shared" si="10"/>
        <v>28000</v>
      </c>
      <c r="AC37" s="70">
        <f t="shared" si="10"/>
        <v>28000</v>
      </c>
      <c r="AD37" s="70">
        <f t="shared" si="10"/>
        <v>673700</v>
      </c>
    </row>
    <row r="38" spans="1:30" s="118" customFormat="1" ht="114.75" customHeight="1" x14ac:dyDescent="0.3">
      <c r="A38" s="1116"/>
      <c r="B38" s="117" t="s">
        <v>2</v>
      </c>
      <c r="C38" s="243" t="s">
        <v>539</v>
      </c>
      <c r="D38" s="202">
        <f>+R38+AD38</f>
        <v>363330</v>
      </c>
      <c r="E38" s="202">
        <v>0</v>
      </c>
      <c r="F38" s="74">
        <f t="shared" si="2"/>
        <v>363330</v>
      </c>
      <c r="G38" s="73">
        <f>+'PREVENCIÓN (Desglose)'!H86</f>
        <v>0</v>
      </c>
      <c r="H38" s="73">
        <f>+'PREVENCIÓN (Desglose)'!I86</f>
        <v>3330</v>
      </c>
      <c r="I38" s="73">
        <f>+'PREVENCIÓN (Desglose)'!J86</f>
        <v>0</v>
      </c>
      <c r="J38" s="73">
        <f>+'PREVENCIÓN (Desglose)'!K86</f>
        <v>1500</v>
      </c>
      <c r="K38" s="73">
        <f>+'PREVENCIÓN (Desglose)'!L86</f>
        <v>0</v>
      </c>
      <c r="L38" s="73">
        <f>+'PREVENCIÓN (Desglose)'!M86</f>
        <v>0</v>
      </c>
      <c r="M38" s="73">
        <f>+'PREVENCIÓN (Desglose)'!N86</f>
        <v>9500</v>
      </c>
      <c r="N38" s="73">
        <f>+'PREVENCIÓN (Desglose)'!O86</f>
        <v>5000</v>
      </c>
      <c r="O38" s="73">
        <f>+'PREVENCIÓN (Desglose)'!P86</f>
        <v>2000</v>
      </c>
      <c r="P38" s="73">
        <f>+'PREVENCIÓN (Desglose)'!Q86</f>
        <v>11000</v>
      </c>
      <c r="Q38" s="73">
        <f>+'PREVENCIÓN (Desglose)'!R86</f>
        <v>0</v>
      </c>
      <c r="R38" s="251">
        <f t="shared" si="3"/>
        <v>32330</v>
      </c>
      <c r="S38" s="73">
        <f>+'PREVENCIÓN (Desglose)'!T86</f>
        <v>28000</v>
      </c>
      <c r="T38" s="73">
        <f>+'PREVENCIÓN (Desglose)'!U86</f>
        <v>28000</v>
      </c>
      <c r="U38" s="73">
        <f>+'PREVENCIÓN (Desglose)'!V86</f>
        <v>39000</v>
      </c>
      <c r="V38" s="73">
        <f>+'PREVENCIÓN (Desglose)'!W86</f>
        <v>28000</v>
      </c>
      <c r="W38" s="73">
        <f>+'PREVENCIÓN (Desglose)'!X86</f>
        <v>34000</v>
      </c>
      <c r="X38" s="73">
        <f>+'PREVENCIÓN (Desglose)'!Y86</f>
        <v>28000</v>
      </c>
      <c r="Y38" s="73">
        <f>+'PREVENCIÓN (Desglose)'!Z86</f>
        <v>28000</v>
      </c>
      <c r="Z38" s="73">
        <f>+'PREVENCIÓN (Desglose)'!AA86</f>
        <v>34000</v>
      </c>
      <c r="AA38" s="73">
        <f>+'PREVENCIÓN (Desglose)'!AB86</f>
        <v>28000</v>
      </c>
      <c r="AB38" s="73">
        <f>+'PREVENCIÓN (Desglose)'!AC86</f>
        <v>28000</v>
      </c>
      <c r="AC38" s="73">
        <f>+'PREVENCIÓN (Desglose)'!AD86</f>
        <v>28000</v>
      </c>
      <c r="AD38" s="82">
        <f t="shared" si="4"/>
        <v>331000</v>
      </c>
    </row>
    <row r="39" spans="1:30" s="118" customFormat="1" ht="114.75" customHeight="1" x14ac:dyDescent="0.3">
      <c r="A39" s="1115"/>
      <c r="B39" s="117" t="s">
        <v>3</v>
      </c>
      <c r="C39" s="243" t="s">
        <v>540</v>
      </c>
      <c r="D39" s="202">
        <v>0</v>
      </c>
      <c r="E39" s="202">
        <f>+R39+AD39</f>
        <v>342700</v>
      </c>
      <c r="F39" s="74">
        <f t="shared" si="2"/>
        <v>342700</v>
      </c>
      <c r="G39" s="73">
        <f>+'PREVENCIÓN (Desglose)'!H92</f>
        <v>0</v>
      </c>
      <c r="H39" s="73">
        <f>+'PREVENCIÓN (Desglose)'!I92</f>
        <v>0</v>
      </c>
      <c r="I39" s="73">
        <f>+'PREVENCIÓN (Desglose)'!J92</f>
        <v>0</v>
      </c>
      <c r="J39" s="73">
        <f>+'PREVENCIÓN (Desglose)'!K92</f>
        <v>0</v>
      </c>
      <c r="K39" s="73">
        <f>+'PREVENCIÓN (Desglose)'!L92</f>
        <v>0</v>
      </c>
      <c r="L39" s="73">
        <f>+'PREVENCIÓN (Desglose)'!M92</f>
        <v>0</v>
      </c>
      <c r="M39" s="73">
        <f>+'PREVENCIÓN (Desglose)'!N92</f>
        <v>0</v>
      </c>
      <c r="N39" s="73">
        <f>+'PREVENCIÓN (Desglose)'!O92</f>
        <v>0</v>
      </c>
      <c r="O39" s="73">
        <f>+'PREVENCIÓN (Desglose)'!P92</f>
        <v>0</v>
      </c>
      <c r="P39" s="73">
        <f>+'PREVENCIÓN (Desglose)'!Q92</f>
        <v>0</v>
      </c>
      <c r="Q39" s="73">
        <f>+'PREVENCIÓN (Desglose)'!R92</f>
        <v>0</v>
      </c>
      <c r="R39" s="616">
        <f t="shared" si="3"/>
        <v>0</v>
      </c>
      <c r="S39" s="73">
        <f>+'PREVENCIÓN (Desglose)'!T92</f>
        <v>0</v>
      </c>
      <c r="T39" s="73">
        <f>+'PREVENCIÓN (Desglose)'!U92</f>
        <v>0</v>
      </c>
      <c r="U39" s="73">
        <f>+'PREVENCIÓN (Desglose)'!V92</f>
        <v>0</v>
      </c>
      <c r="V39" s="73">
        <f>+'PREVENCIÓN (Desglose)'!W92</f>
        <v>342700</v>
      </c>
      <c r="W39" s="73">
        <f>+'PREVENCIÓN (Desglose)'!X92</f>
        <v>0</v>
      </c>
      <c r="X39" s="73">
        <f>+'PREVENCIÓN (Desglose)'!Y92</f>
        <v>0</v>
      </c>
      <c r="Y39" s="73">
        <f>+'PREVENCIÓN (Desglose)'!Z92</f>
        <v>0</v>
      </c>
      <c r="Z39" s="73">
        <f>+'PREVENCIÓN (Desglose)'!AA92</f>
        <v>0</v>
      </c>
      <c r="AA39" s="73">
        <f>+'PREVENCIÓN (Desglose)'!AB92</f>
        <v>0</v>
      </c>
      <c r="AB39" s="73">
        <f>+'PREVENCIÓN (Desglose)'!AC92</f>
        <v>0</v>
      </c>
      <c r="AC39" s="73">
        <f>+'PREVENCIÓN (Desglose)'!AD92</f>
        <v>0</v>
      </c>
      <c r="AD39" s="620">
        <f t="shared" si="4"/>
        <v>342700</v>
      </c>
    </row>
    <row r="40" spans="1:30" ht="22.5" customHeight="1" x14ac:dyDescent="0.3">
      <c r="A40" s="1088" t="s">
        <v>113</v>
      </c>
      <c r="B40" s="40"/>
      <c r="C40" s="108"/>
      <c r="D40" s="70">
        <f>SUM(D41:D42)</f>
        <v>109500</v>
      </c>
      <c r="E40" s="70">
        <f>SUM(E41:E42)</f>
        <v>134100</v>
      </c>
      <c r="F40" s="70">
        <f t="shared" ref="F40:T40" si="11">SUM(F41:F42)</f>
        <v>243600</v>
      </c>
      <c r="G40" s="70">
        <f t="shared" si="11"/>
        <v>0</v>
      </c>
      <c r="H40" s="70">
        <f t="shared" si="11"/>
        <v>0</v>
      </c>
      <c r="I40" s="70">
        <f t="shared" si="11"/>
        <v>0</v>
      </c>
      <c r="J40" s="70">
        <f t="shared" si="11"/>
        <v>0</v>
      </c>
      <c r="K40" s="70">
        <f t="shared" si="11"/>
        <v>0</v>
      </c>
      <c r="L40" s="70">
        <f t="shared" si="11"/>
        <v>0</v>
      </c>
      <c r="M40" s="70">
        <f t="shared" si="11"/>
        <v>10000</v>
      </c>
      <c r="N40" s="70">
        <f t="shared" si="11"/>
        <v>10500</v>
      </c>
      <c r="O40" s="70">
        <f t="shared" si="11"/>
        <v>0</v>
      </c>
      <c r="P40" s="70">
        <f t="shared" si="11"/>
        <v>3000</v>
      </c>
      <c r="Q40" s="70">
        <f t="shared" si="11"/>
        <v>5000</v>
      </c>
      <c r="R40" s="70">
        <f t="shared" si="11"/>
        <v>28500</v>
      </c>
      <c r="S40" s="70">
        <f t="shared" si="11"/>
        <v>6000</v>
      </c>
      <c r="T40" s="70">
        <f t="shared" si="11"/>
        <v>6000</v>
      </c>
      <c r="U40" s="70">
        <f>SUM(U41:U42)</f>
        <v>11000</v>
      </c>
      <c r="V40" s="70">
        <f t="shared" ref="V40:AD40" si="12">SUM(V41:V42)</f>
        <v>145100</v>
      </c>
      <c r="W40" s="70">
        <f t="shared" si="12"/>
        <v>6000</v>
      </c>
      <c r="X40" s="70">
        <f t="shared" si="12"/>
        <v>6000</v>
      </c>
      <c r="Y40" s="70">
        <f t="shared" si="12"/>
        <v>11000</v>
      </c>
      <c r="Z40" s="70">
        <f t="shared" si="12"/>
        <v>6000</v>
      </c>
      <c r="AA40" s="70">
        <f t="shared" si="12"/>
        <v>6000</v>
      </c>
      <c r="AB40" s="70">
        <f t="shared" si="12"/>
        <v>6000</v>
      </c>
      <c r="AC40" s="70">
        <f t="shared" si="12"/>
        <v>6000</v>
      </c>
      <c r="AD40" s="70">
        <f t="shared" si="12"/>
        <v>215100</v>
      </c>
    </row>
    <row r="41" spans="1:30" s="118" customFormat="1" ht="118.5" customHeight="1" x14ac:dyDescent="0.3">
      <c r="A41" s="1088"/>
      <c r="B41" s="63" t="s">
        <v>2</v>
      </c>
      <c r="C41" s="64" t="s">
        <v>394</v>
      </c>
      <c r="D41" s="202">
        <f>+R41+AD41</f>
        <v>109500</v>
      </c>
      <c r="E41" s="202">
        <v>0</v>
      </c>
      <c r="F41" s="74">
        <f>+D41+E41</f>
        <v>109500</v>
      </c>
      <c r="G41" s="73">
        <f>+'PREVENCIÓN (Desglose)'!H95</f>
        <v>0</v>
      </c>
      <c r="H41" s="73">
        <f>+'PREVENCIÓN (Desglose)'!I95</f>
        <v>0</v>
      </c>
      <c r="I41" s="73">
        <f>+'PREVENCIÓN (Desglose)'!J95</f>
        <v>0</v>
      </c>
      <c r="J41" s="73">
        <f>+'PREVENCIÓN (Desglose)'!K95</f>
        <v>0</v>
      </c>
      <c r="K41" s="73">
        <f>+'PREVENCIÓN (Desglose)'!L95</f>
        <v>0</v>
      </c>
      <c r="L41" s="73">
        <f>+'PREVENCIÓN (Desglose)'!M95</f>
        <v>0</v>
      </c>
      <c r="M41" s="73">
        <f>+'PREVENCIÓN (Desglose)'!N95</f>
        <v>10000</v>
      </c>
      <c r="N41" s="73">
        <f>+'PREVENCIÓN (Desglose)'!O95</f>
        <v>10500</v>
      </c>
      <c r="O41" s="73">
        <f>+'PREVENCIÓN (Desglose)'!P95</f>
        <v>0</v>
      </c>
      <c r="P41" s="73">
        <f>+'PREVENCIÓN (Desglose)'!Q95</f>
        <v>3000</v>
      </c>
      <c r="Q41" s="73">
        <f>+'PREVENCIÓN (Desglose)'!R95</f>
        <v>5000</v>
      </c>
      <c r="R41" s="251">
        <f t="shared" si="3"/>
        <v>28500</v>
      </c>
      <c r="S41" s="73">
        <f>+'PREVENCIÓN (Desglose)'!T95</f>
        <v>6000</v>
      </c>
      <c r="T41" s="73">
        <f>+'PREVENCIÓN (Desglose)'!U95</f>
        <v>6000</v>
      </c>
      <c r="U41" s="73">
        <f>+'PREVENCIÓN (Desglose)'!V95</f>
        <v>11000</v>
      </c>
      <c r="V41" s="73">
        <f>+'PREVENCIÓN (Desglose)'!W95</f>
        <v>11000</v>
      </c>
      <c r="W41" s="73">
        <f>+'PREVENCIÓN (Desglose)'!X95</f>
        <v>6000</v>
      </c>
      <c r="X41" s="73">
        <f>+'PREVENCIÓN (Desglose)'!Y95</f>
        <v>6000</v>
      </c>
      <c r="Y41" s="73">
        <f>+'PREVENCIÓN (Desglose)'!Z95</f>
        <v>11000</v>
      </c>
      <c r="Z41" s="73">
        <f>+'PREVENCIÓN (Desglose)'!AA95</f>
        <v>6000</v>
      </c>
      <c r="AA41" s="73">
        <f>+'PREVENCIÓN (Desglose)'!AB95</f>
        <v>6000</v>
      </c>
      <c r="AB41" s="73">
        <f>+'PREVENCIÓN (Desglose)'!AC95</f>
        <v>6000</v>
      </c>
      <c r="AC41" s="73">
        <f>+'PREVENCIÓN (Desglose)'!AD95</f>
        <v>6000</v>
      </c>
      <c r="AD41" s="82">
        <f t="shared" si="4"/>
        <v>81000</v>
      </c>
    </row>
    <row r="42" spans="1:30" s="118" customFormat="1" ht="118.5" customHeight="1" x14ac:dyDescent="0.3">
      <c r="A42" s="1088"/>
      <c r="B42" s="63" t="s">
        <v>3</v>
      </c>
      <c r="C42" s="64" t="s">
        <v>393</v>
      </c>
      <c r="D42" s="202">
        <v>0</v>
      </c>
      <c r="E42" s="202">
        <f>+R42+AD42</f>
        <v>134100</v>
      </c>
      <c r="F42" s="74">
        <f>+D42+E42</f>
        <v>134100</v>
      </c>
      <c r="G42" s="73">
        <f>+'PREVENCIÓN (Desglose)'!H99</f>
        <v>0</v>
      </c>
      <c r="H42" s="73">
        <f>+'PREVENCIÓN (Desglose)'!I99</f>
        <v>0</v>
      </c>
      <c r="I42" s="73">
        <f>+'PREVENCIÓN (Desglose)'!J99</f>
        <v>0</v>
      </c>
      <c r="J42" s="73">
        <f>+'PREVENCIÓN (Desglose)'!K99</f>
        <v>0</v>
      </c>
      <c r="K42" s="73">
        <f>+'PREVENCIÓN (Desglose)'!L99</f>
        <v>0</v>
      </c>
      <c r="L42" s="73">
        <f>+'PREVENCIÓN (Desglose)'!M99</f>
        <v>0</v>
      </c>
      <c r="M42" s="73">
        <f>+'PREVENCIÓN (Desglose)'!N99</f>
        <v>0</v>
      </c>
      <c r="N42" s="73">
        <f>+'PREVENCIÓN (Desglose)'!O99</f>
        <v>0</v>
      </c>
      <c r="O42" s="73">
        <f>+'PREVENCIÓN (Desglose)'!P99</f>
        <v>0</v>
      </c>
      <c r="P42" s="73">
        <f>+'PREVENCIÓN (Desglose)'!Q99</f>
        <v>0</v>
      </c>
      <c r="Q42" s="73">
        <f>+'PREVENCIÓN (Desglose)'!R99</f>
        <v>0</v>
      </c>
      <c r="R42" s="616">
        <f>SUM(G42:Q42)</f>
        <v>0</v>
      </c>
      <c r="S42" s="73">
        <f>+'PREVENCIÓN (Desglose)'!T99</f>
        <v>0</v>
      </c>
      <c r="T42" s="73">
        <f>+'PREVENCIÓN (Desglose)'!U99</f>
        <v>0</v>
      </c>
      <c r="U42" s="73">
        <f>+'PREVENCIÓN (Desglose)'!V99</f>
        <v>0</v>
      </c>
      <c r="V42" s="73">
        <f>+'PREVENCIÓN (Desglose)'!W99</f>
        <v>134100</v>
      </c>
      <c r="W42" s="73">
        <f>+'PREVENCIÓN (Desglose)'!X99</f>
        <v>0</v>
      </c>
      <c r="X42" s="73">
        <f>+'PREVENCIÓN (Desglose)'!Y99</f>
        <v>0</v>
      </c>
      <c r="Y42" s="73">
        <f>+'PREVENCIÓN (Desglose)'!Z99</f>
        <v>0</v>
      </c>
      <c r="Z42" s="73">
        <f>+'PREVENCIÓN (Desglose)'!AA99</f>
        <v>0</v>
      </c>
      <c r="AA42" s="73">
        <f>+'PREVENCIÓN (Desglose)'!AB99</f>
        <v>0</v>
      </c>
      <c r="AB42" s="73">
        <f>+'PREVENCIÓN (Desglose)'!AC99</f>
        <v>0</v>
      </c>
      <c r="AC42" s="73">
        <f>+'PREVENCIÓN (Desglose)'!AD99</f>
        <v>0</v>
      </c>
      <c r="AD42" s="82">
        <f>SUM(S42:AC42)</f>
        <v>134100</v>
      </c>
    </row>
    <row r="48" spans="1:30" x14ac:dyDescent="0.3">
      <c r="R48" s="617"/>
    </row>
    <row r="51" spans="18:18" x14ac:dyDescent="0.3">
      <c r="R51" s="617"/>
    </row>
  </sheetData>
  <mergeCells count="17">
    <mergeCell ref="A9:A11"/>
    <mergeCell ref="A13:A17"/>
    <mergeCell ref="A33:A35"/>
    <mergeCell ref="A37:A39"/>
    <mergeCell ref="A40:A42"/>
    <mergeCell ref="A20:A22"/>
    <mergeCell ref="A25:A29"/>
    <mergeCell ref="A30:A32"/>
    <mergeCell ref="AD4:AD5"/>
    <mergeCell ref="A8:F8"/>
    <mergeCell ref="D4:D5"/>
    <mergeCell ref="E4:E5"/>
    <mergeCell ref="G4:Q4"/>
    <mergeCell ref="A6:C6"/>
    <mergeCell ref="F4:F5"/>
    <mergeCell ref="R4:R5"/>
    <mergeCell ref="S4:AC4"/>
  </mergeCells>
  <printOptions horizontalCentered="1"/>
  <pageMargins left="0.39370078740157483" right="7.874015748031496E-2" top="0.74803149606299213" bottom="0.74803149606299213" header="0.31496062992125984" footer="0.31496062992125984"/>
  <pageSetup paperSize="9" scale="45" orientation="landscape" horizontalDpi="0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8</vt:i4>
      </vt:variant>
    </vt:vector>
  </HeadingPairs>
  <TitlesOfParts>
    <vt:vector size="25" baseType="lpstr">
      <vt:lpstr>FICHA GENERAL</vt:lpstr>
      <vt:lpstr>RESUMEN en Euros</vt:lpstr>
      <vt:lpstr>RESUMEN en Q</vt:lpstr>
      <vt:lpstr>RESUMEN GLOBAL 1</vt:lpstr>
      <vt:lpstr>RESUMEN GLOBAL 2</vt:lpstr>
      <vt:lpstr>METAS FÍSICAS (Resultados)</vt:lpstr>
      <vt:lpstr>F1,F2,F3,F4 (ejecutivo)</vt:lpstr>
      <vt:lpstr>F1,F2,F3,F4 (Desglose)</vt:lpstr>
      <vt:lpstr>PREVENCIÓN (Ejecutiva)</vt:lpstr>
      <vt:lpstr>PREVENCIÓN (Desglose)</vt:lpstr>
      <vt:lpstr>ATENCIÓN (ejecutiva)</vt:lpstr>
      <vt:lpstr>ATENCIÓN (desglose)</vt:lpstr>
      <vt:lpstr>IMPUNIDAD (Ejecutiva)</vt:lpstr>
      <vt:lpstr>IMPUNIDAD (desglose)</vt:lpstr>
      <vt:lpstr>POA V6</vt:lpstr>
      <vt:lpstr>Consolidado AT-AP</vt:lpstr>
      <vt:lpstr>AT y AP</vt:lpstr>
      <vt:lpstr>'RESUMEN en Euros'!Área_de_impresión</vt:lpstr>
      <vt:lpstr>'RESUMEN GLOBAL 1'!Área_de_impresión</vt:lpstr>
      <vt:lpstr>'RESUMEN GLOBAL 2'!Área_de_impresión</vt:lpstr>
      <vt:lpstr>'F1,F2,F3,F4 (ejecutivo)'!Títulos_a_imprimir</vt:lpstr>
      <vt:lpstr>'METAS FÍSICAS (Resultados)'!Títulos_a_imprimir</vt:lpstr>
      <vt:lpstr>'PREVENCIÓN (Ejecutiva)'!Títulos_a_imprimir</vt:lpstr>
      <vt:lpstr>'RESUMEN GLOBAL 1'!Títulos_a_imprimir</vt:lpstr>
      <vt:lpstr>'RESUMEN GLOBAL 2'!Títulos_a_imprimir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PLANIFICACION_PREVI</dc:creator>
  <cp:lastModifiedBy>SARA OROZCO</cp:lastModifiedBy>
  <cp:lastPrinted>2021-05-10T23:58:01Z</cp:lastPrinted>
  <dcterms:created xsi:type="dcterms:W3CDTF">2021-03-04T23:37:26Z</dcterms:created>
  <dcterms:modified xsi:type="dcterms:W3CDTF">2021-07-21T16:49:00Z</dcterms:modified>
</cp:coreProperties>
</file>